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activeTab="5"/>
  </bookViews>
  <sheets>
    <sheet name="Plan A" sheetId="4" r:id="rId1"/>
    <sheet name="Plan B" sheetId="2" r:id="rId2"/>
    <sheet name="Plan A Assess" sheetId="5" r:id="rId3"/>
    <sheet name="Summary" sheetId="3" r:id="rId4"/>
    <sheet name="Plan C" sheetId="7" r:id="rId5"/>
    <sheet name="Asses vs Loan" sheetId="6" r:id="rId6"/>
  </sheets>
  <calcPr calcId="145621"/>
</workbook>
</file>

<file path=xl/calcChain.xml><?xml version="1.0" encoding="utf-8"?>
<calcChain xmlns="http://schemas.openxmlformats.org/spreadsheetml/2006/main">
  <c r="O48" i="6" l="1"/>
  <c r="T58" i="4"/>
  <c r="T53" i="5"/>
  <c r="AB57" i="4"/>
  <c r="X57" i="4"/>
  <c r="T57" i="4"/>
  <c r="L43" i="6"/>
  <c r="N43" i="6" s="1"/>
  <c r="L42" i="6"/>
  <c r="N42" i="6" s="1"/>
  <c r="L41" i="6"/>
  <c r="N41" i="6" s="1"/>
  <c r="R57" i="4"/>
  <c r="R48" i="4"/>
  <c r="M48" i="5"/>
  <c r="M51" i="2"/>
  <c r="M50" i="2"/>
  <c r="M49" i="2"/>
  <c r="M48" i="2"/>
  <c r="M52" i="4"/>
  <c r="M51" i="4"/>
  <c r="M50" i="4"/>
  <c r="M49" i="4"/>
  <c r="M48" i="4"/>
  <c r="AA50" i="5"/>
  <c r="Y50" i="5"/>
  <c r="W50" i="5"/>
  <c r="AB48" i="5"/>
  <c r="X48" i="5"/>
  <c r="W48" i="5"/>
  <c r="AA48" i="5"/>
  <c r="Z48" i="5"/>
  <c r="V48" i="5"/>
  <c r="R48" i="5"/>
  <c r="N50" i="5"/>
  <c r="N34" i="6"/>
  <c r="N33" i="6"/>
  <c r="N32" i="6"/>
  <c r="S50" i="5"/>
  <c r="T48" i="5"/>
  <c r="S48" i="5"/>
  <c r="M50" i="5" l="1"/>
  <c r="P48" i="5"/>
  <c r="O42" i="6"/>
  <c r="O41" i="6"/>
  <c r="O34" i="6"/>
  <c r="O32" i="6"/>
  <c r="F89" i="5"/>
  <c r="E89" i="5"/>
  <c r="F88" i="5"/>
  <c r="F91" i="5" s="1"/>
  <c r="E88" i="5"/>
  <c r="F87" i="5"/>
  <c r="E87" i="5"/>
  <c r="E91" i="5"/>
  <c r="F80" i="5"/>
  <c r="E80" i="5"/>
  <c r="F79" i="5"/>
  <c r="E79" i="5"/>
  <c r="F78" i="5"/>
  <c r="E78" i="5"/>
  <c r="G71" i="5"/>
  <c r="G80" i="5" s="1"/>
  <c r="G89" i="5" s="1"/>
  <c r="F71" i="5"/>
  <c r="E71" i="5"/>
  <c r="D71" i="5"/>
  <c r="D80" i="5" s="1"/>
  <c r="D89" i="5" s="1"/>
  <c r="G70" i="5"/>
  <c r="G79" i="5" s="1"/>
  <c r="G88" i="5" s="1"/>
  <c r="F70" i="5"/>
  <c r="E70" i="5"/>
  <c r="D70" i="5"/>
  <c r="D79" i="5" s="1"/>
  <c r="D88" i="5" s="1"/>
  <c r="G69" i="5"/>
  <c r="G78" i="5" s="1"/>
  <c r="F69" i="5"/>
  <c r="E69" i="5"/>
  <c r="D69" i="5"/>
  <c r="D78" i="5" s="1"/>
  <c r="D87" i="5" s="1"/>
  <c r="G87" i="5" l="1"/>
  <c r="G91" i="5" s="1"/>
  <c r="G82" i="5"/>
  <c r="H88" i="5"/>
  <c r="Q43" i="6"/>
  <c r="Q42" i="6"/>
  <c r="Q41" i="6"/>
  <c r="O33" i="6"/>
  <c r="O36" i="6" s="1"/>
  <c r="O43" i="6"/>
  <c r="O45" i="6" s="1"/>
  <c r="H87" i="5"/>
  <c r="D91" i="5"/>
  <c r="H91" i="5" s="1"/>
  <c r="H89" i="5"/>
  <c r="F82" i="5"/>
  <c r="H78" i="5"/>
  <c r="H79" i="5"/>
  <c r="H80" i="5"/>
  <c r="E82" i="5"/>
  <c r="D82" i="5"/>
  <c r="D77" i="7"/>
  <c r="I75" i="7"/>
  <c r="M75" i="7" s="1"/>
  <c r="H75" i="7"/>
  <c r="AA42" i="7" s="1"/>
  <c r="G75" i="7"/>
  <c r="F75" i="7"/>
  <c r="E75" i="7"/>
  <c r="I74" i="7"/>
  <c r="M74" i="7" s="1"/>
  <c r="M77" i="7" s="1"/>
  <c r="H74" i="7"/>
  <c r="G74" i="7"/>
  <c r="F74" i="7"/>
  <c r="E74" i="7"/>
  <c r="W31" i="7" s="1"/>
  <c r="M73" i="7"/>
  <c r="H73" i="7"/>
  <c r="S40" i="7" s="1"/>
  <c r="G73" i="7"/>
  <c r="F73" i="7"/>
  <c r="E73" i="7"/>
  <c r="F68" i="7"/>
  <c r="F67" i="7"/>
  <c r="F66" i="7"/>
  <c r="F69" i="7" s="1"/>
  <c r="G68" i="7" s="1"/>
  <c r="H68" i="7" s="1"/>
  <c r="K68" i="7" s="1"/>
  <c r="F62" i="7"/>
  <c r="F60" i="7"/>
  <c r="AA48" i="7"/>
  <c r="H46" i="7"/>
  <c r="F46" i="7"/>
  <c r="E46" i="7"/>
  <c r="D46" i="7"/>
  <c r="G45" i="7"/>
  <c r="W44" i="7"/>
  <c r="G44" i="7"/>
  <c r="S43" i="7"/>
  <c r="G43" i="7"/>
  <c r="G42" i="7"/>
  <c r="AA41" i="7"/>
  <c r="S41" i="7"/>
  <c r="G41" i="7"/>
  <c r="G40" i="7"/>
  <c r="W39" i="7"/>
  <c r="G39" i="7"/>
  <c r="G38" i="7"/>
  <c r="AA37" i="7"/>
  <c r="G37" i="7"/>
  <c r="G36" i="7"/>
  <c r="AA35" i="7"/>
  <c r="G35" i="7"/>
  <c r="G34" i="7"/>
  <c r="AA33" i="7"/>
  <c r="G33" i="7"/>
  <c r="S32" i="7"/>
  <c r="G32" i="7"/>
  <c r="G31" i="7"/>
  <c r="G30" i="7"/>
  <c r="G29" i="7"/>
  <c r="AA28" i="7"/>
  <c r="G28" i="7"/>
  <c r="G27" i="7"/>
  <c r="G26" i="7"/>
  <c r="AA25" i="7"/>
  <c r="G25" i="7"/>
  <c r="AA24" i="7"/>
  <c r="S24" i="7"/>
  <c r="G24" i="7"/>
  <c r="G23" i="7"/>
  <c r="S22" i="7"/>
  <c r="G22" i="7"/>
  <c r="S21" i="7"/>
  <c r="G21" i="7"/>
  <c r="S20" i="7"/>
  <c r="G20" i="7"/>
  <c r="G19" i="7"/>
  <c r="AA18" i="7"/>
  <c r="S18" i="7"/>
  <c r="G18" i="7"/>
  <c r="AA17" i="7"/>
  <c r="S17" i="7"/>
  <c r="G17" i="7"/>
  <c r="AA16" i="7"/>
  <c r="S16" i="7"/>
  <c r="G16" i="7"/>
  <c r="AA15" i="7"/>
  <c r="G15" i="7"/>
  <c r="AA14" i="7"/>
  <c r="W14" i="7"/>
  <c r="S14" i="7"/>
  <c r="G14" i="7"/>
  <c r="AA13" i="7"/>
  <c r="W13" i="7"/>
  <c r="S13" i="7"/>
  <c r="G13" i="7"/>
  <c r="AA12" i="7"/>
  <c r="W12" i="7"/>
  <c r="S12" i="7"/>
  <c r="G12" i="7"/>
  <c r="AA11" i="7"/>
  <c r="W11" i="7"/>
  <c r="S11" i="7"/>
  <c r="G11" i="7"/>
  <c r="AA10" i="7"/>
  <c r="W10" i="7"/>
  <c r="S10" i="7"/>
  <c r="G10" i="7"/>
  <c r="AA9" i="7"/>
  <c r="Z9" i="7"/>
  <c r="S9" i="7"/>
  <c r="R9" i="7"/>
  <c r="G9" i="7"/>
  <c r="O47" i="6" l="1"/>
  <c r="O49" i="6" s="1"/>
  <c r="H82" i="5"/>
  <c r="G67" i="7"/>
  <c r="H67" i="7" s="1"/>
  <c r="K67" i="7" s="1"/>
  <c r="G77" i="7"/>
  <c r="W22" i="7"/>
  <c r="W29" i="7"/>
  <c r="AA50" i="7"/>
  <c r="E77" i="7"/>
  <c r="W23" i="7"/>
  <c r="W27" i="7"/>
  <c r="W30" i="7"/>
  <c r="K74" i="7"/>
  <c r="V9" i="7"/>
  <c r="W19" i="7"/>
  <c r="W20" i="7"/>
  <c r="W21" i="7"/>
  <c r="AA23" i="7"/>
  <c r="W26" i="7"/>
  <c r="W32" i="7"/>
  <c r="AA34" i="7"/>
  <c r="W36" i="7"/>
  <c r="W38" i="7"/>
  <c r="W40" i="7"/>
  <c r="AA45" i="7"/>
  <c r="W9" i="7"/>
  <c r="W15" i="7"/>
  <c r="W16" i="7"/>
  <c r="W17" i="7"/>
  <c r="W18" i="7"/>
  <c r="AA19" i="7"/>
  <c r="AA20" i="7"/>
  <c r="AA21" i="7"/>
  <c r="AA22" i="7"/>
  <c r="W25" i="7"/>
  <c r="AA26" i="7"/>
  <c r="S28" i="7"/>
  <c r="AA29" i="7"/>
  <c r="S44" i="7"/>
  <c r="W43" i="7"/>
  <c r="K75" i="7"/>
  <c r="I46" i="7"/>
  <c r="T9" i="7"/>
  <c r="S50" i="7"/>
  <c r="G66" i="7"/>
  <c r="H66" i="7" s="1"/>
  <c r="G46" i="7"/>
  <c r="S26" i="7"/>
  <c r="S30" i="7"/>
  <c r="S33" i="7"/>
  <c r="S35" i="7"/>
  <c r="S36" i="7"/>
  <c r="I67" i="7"/>
  <c r="I68" i="7"/>
  <c r="S42" i="7"/>
  <c r="S38" i="7"/>
  <c r="S34" i="7"/>
  <c r="H77" i="7"/>
  <c r="S48" i="7"/>
  <c r="S45" i="7"/>
  <c r="S39" i="7"/>
  <c r="S37" i="7"/>
  <c r="S31" i="7"/>
  <c r="S29" i="7"/>
  <c r="S25" i="7"/>
  <c r="S49" i="7"/>
  <c r="S27" i="7"/>
  <c r="S23" i="7"/>
  <c r="S19" i="7"/>
  <c r="S15" i="7"/>
  <c r="AA43" i="7"/>
  <c r="E47" i="7"/>
  <c r="AA49" i="7"/>
  <c r="F61" i="7"/>
  <c r="AA44" i="7"/>
  <c r="AA40" i="7"/>
  <c r="AA36" i="7"/>
  <c r="AA32" i="7"/>
  <c r="AA39" i="7"/>
  <c r="AA38" i="7"/>
  <c r="AA31" i="7"/>
  <c r="AA30" i="7"/>
  <c r="AA27" i="7"/>
  <c r="I77" i="7"/>
  <c r="W24" i="7"/>
  <c r="W46" i="7" s="1"/>
  <c r="W52" i="7" s="1"/>
  <c r="W28" i="7"/>
  <c r="W34" i="7"/>
  <c r="W35" i="7"/>
  <c r="W42" i="7"/>
  <c r="F77" i="7"/>
  <c r="K73" i="7"/>
  <c r="K77" i="7" s="1"/>
  <c r="W50" i="7"/>
  <c r="W49" i="7"/>
  <c r="W48" i="7"/>
  <c r="W45" i="7"/>
  <c r="W41" i="7"/>
  <c r="W37" i="7"/>
  <c r="W33" i="7"/>
  <c r="M74" i="3"/>
  <c r="G74" i="3"/>
  <c r="E73" i="3"/>
  <c r="E72" i="3"/>
  <c r="E71" i="3"/>
  <c r="M67" i="3"/>
  <c r="G67" i="3"/>
  <c r="S46" i="7" l="1"/>
  <c r="S52" i="7" s="1"/>
  <c r="AA46" i="7"/>
  <c r="AA52" i="7" s="1"/>
  <c r="O22" i="7"/>
  <c r="O18" i="7"/>
  <c r="O24" i="7"/>
  <c r="O50" i="7"/>
  <c r="O19" i="7"/>
  <c r="O25" i="7"/>
  <c r="O21" i="7"/>
  <c r="O17" i="7"/>
  <c r="O20" i="7"/>
  <c r="O16" i="7"/>
  <c r="O23" i="7"/>
  <c r="M50" i="7"/>
  <c r="P50" i="7" s="1"/>
  <c r="M48" i="7"/>
  <c r="M49" i="7"/>
  <c r="O43" i="7"/>
  <c r="O39" i="7"/>
  <c r="O35" i="7"/>
  <c r="O31" i="7"/>
  <c r="O41" i="7"/>
  <c r="O33" i="7"/>
  <c r="O30" i="7"/>
  <c r="O26" i="7"/>
  <c r="O48" i="7"/>
  <c r="P48" i="7" s="1"/>
  <c r="R48" i="7" s="1"/>
  <c r="T48" i="7" s="1"/>
  <c r="O73" i="7" s="1"/>
  <c r="O29" i="7"/>
  <c r="O32" i="7"/>
  <c r="O44" i="7"/>
  <c r="O42" i="7"/>
  <c r="O38" i="7"/>
  <c r="O49" i="7"/>
  <c r="O45" i="7"/>
  <c r="O40" i="7"/>
  <c r="O36" i="7"/>
  <c r="O28" i="7"/>
  <c r="O27" i="7"/>
  <c r="O37" i="7"/>
  <c r="O34" i="7"/>
  <c r="I66" i="7"/>
  <c r="N42" i="7"/>
  <c r="N38" i="7"/>
  <c r="N34" i="7"/>
  <c r="N40" i="7"/>
  <c r="N32" i="7"/>
  <c r="N29" i="7"/>
  <c r="N45" i="7"/>
  <c r="N44" i="7"/>
  <c r="N37" i="7"/>
  <c r="N36" i="7"/>
  <c r="N30" i="7"/>
  <c r="N28" i="7"/>
  <c r="N20" i="7"/>
  <c r="N16" i="7"/>
  <c r="N43" i="7"/>
  <c r="N41" i="7"/>
  <c r="N25" i="7"/>
  <c r="N39" i="7"/>
  <c r="N24" i="7"/>
  <c r="N23" i="7"/>
  <c r="N22" i="7"/>
  <c r="N21" i="7"/>
  <c r="N13" i="7"/>
  <c r="N11" i="7"/>
  <c r="N35" i="7"/>
  <c r="N33" i="7"/>
  <c r="N19" i="7"/>
  <c r="N18" i="7"/>
  <c r="N17" i="7"/>
  <c r="N31" i="7"/>
  <c r="N15" i="7"/>
  <c r="N12" i="7"/>
  <c r="N27" i="7"/>
  <c r="N26" i="7"/>
  <c r="N14" i="7"/>
  <c r="N10" i="7"/>
  <c r="K66" i="7"/>
  <c r="M45" i="7"/>
  <c r="M41" i="7"/>
  <c r="M37" i="7"/>
  <c r="P37" i="7" s="1"/>
  <c r="M33" i="7"/>
  <c r="M39" i="7"/>
  <c r="M38" i="7"/>
  <c r="M31" i="7"/>
  <c r="P31" i="7" s="1"/>
  <c r="M28" i="7"/>
  <c r="M25" i="7"/>
  <c r="M42" i="7"/>
  <c r="M34" i="7"/>
  <c r="M27" i="7"/>
  <c r="M23" i="7"/>
  <c r="M19" i="7"/>
  <c r="M15" i="7"/>
  <c r="M30" i="7"/>
  <c r="M26" i="7"/>
  <c r="M43" i="7"/>
  <c r="M32" i="7"/>
  <c r="M29" i="7"/>
  <c r="M44" i="7"/>
  <c r="M24" i="7"/>
  <c r="M22" i="7"/>
  <c r="P22" i="7" s="1"/>
  <c r="M21" i="7"/>
  <c r="M20" i="7"/>
  <c r="M13" i="7"/>
  <c r="M11" i="7"/>
  <c r="P11" i="7" s="1"/>
  <c r="M40" i="7"/>
  <c r="M36" i="7"/>
  <c r="M35" i="7"/>
  <c r="M14" i="7"/>
  <c r="M10" i="7"/>
  <c r="M17" i="7"/>
  <c r="M16" i="7"/>
  <c r="M9" i="7"/>
  <c r="M18" i="7"/>
  <c r="M12" i="7"/>
  <c r="P7" i="3"/>
  <c r="P8" i="3" s="1"/>
  <c r="P35" i="7" l="1"/>
  <c r="V35" i="7" s="1"/>
  <c r="X35" i="7" s="1"/>
  <c r="P42" i="7"/>
  <c r="R42" i="7" s="1"/>
  <c r="T42" i="7" s="1"/>
  <c r="P12" i="7"/>
  <c r="R12" i="7" s="1"/>
  <c r="T12" i="7" s="1"/>
  <c r="P44" i="7"/>
  <c r="Z44" i="7" s="1"/>
  <c r="AB44" i="7" s="1"/>
  <c r="P23" i="7"/>
  <c r="R23" i="7" s="1"/>
  <c r="T23" i="7" s="1"/>
  <c r="P18" i="7"/>
  <c r="P10" i="7"/>
  <c r="V10" i="7" s="1"/>
  <c r="P40" i="7"/>
  <c r="R40" i="7" s="1"/>
  <c r="T40" i="7" s="1"/>
  <c r="P21" i="7"/>
  <c r="Z21" i="7" s="1"/>
  <c r="AB21" i="7" s="1"/>
  <c r="P29" i="7"/>
  <c r="P30" i="7"/>
  <c r="Z30" i="7" s="1"/>
  <c r="AB30" i="7" s="1"/>
  <c r="P27" i="7"/>
  <c r="R27" i="7" s="1"/>
  <c r="T27" i="7" s="1"/>
  <c r="P28" i="7"/>
  <c r="R28" i="7" s="1"/>
  <c r="T28" i="7" s="1"/>
  <c r="P33" i="7"/>
  <c r="P49" i="7"/>
  <c r="V18" i="7"/>
  <c r="X18" i="7" s="1"/>
  <c r="Z18" i="7"/>
  <c r="AB18" i="7" s="1"/>
  <c r="Z10" i="7"/>
  <c r="V40" i="7"/>
  <c r="X40" i="7" s="1"/>
  <c r="Z40" i="7"/>
  <c r="AB40" i="7" s="1"/>
  <c r="Z29" i="7"/>
  <c r="AB29" i="7" s="1"/>
  <c r="V29" i="7"/>
  <c r="X29" i="7" s="1"/>
  <c r="V30" i="7"/>
  <c r="X30" i="7" s="1"/>
  <c r="Z27" i="7"/>
  <c r="AB27" i="7" s="1"/>
  <c r="V27" i="7"/>
  <c r="X27" i="7" s="1"/>
  <c r="V33" i="7"/>
  <c r="X33" i="7" s="1"/>
  <c r="Z33" i="7"/>
  <c r="AB33" i="7" s="1"/>
  <c r="R29" i="7"/>
  <c r="T29" i="7" s="1"/>
  <c r="R30" i="7"/>
  <c r="T30" i="7" s="1"/>
  <c r="R33" i="7"/>
  <c r="T33" i="7" s="1"/>
  <c r="Z49" i="7"/>
  <c r="AB49" i="7" s="1"/>
  <c r="V49" i="7"/>
  <c r="X49" i="7" s="1"/>
  <c r="M46" i="7"/>
  <c r="M52" i="7" s="1"/>
  <c r="P9" i="7"/>
  <c r="K9" i="7"/>
  <c r="K10" i="7" s="1"/>
  <c r="K11" i="7" s="1"/>
  <c r="K12" i="7" s="1"/>
  <c r="K13" i="7" s="1"/>
  <c r="K14" i="7" s="1"/>
  <c r="K15" i="7" s="1"/>
  <c r="K16" i="7" s="1"/>
  <c r="K17" i="7" s="1"/>
  <c r="K18" i="7" s="1"/>
  <c r="K19" i="7" s="1"/>
  <c r="K20" i="7" s="1"/>
  <c r="K21" i="7" s="1"/>
  <c r="K22" i="7" s="1"/>
  <c r="K23" i="7" s="1"/>
  <c r="K24" i="7" s="1"/>
  <c r="K25" i="7" s="1"/>
  <c r="K26" i="7" s="1"/>
  <c r="K27" i="7" s="1"/>
  <c r="K28" i="7" s="1"/>
  <c r="K29" i="7" s="1"/>
  <c r="K30" i="7" s="1"/>
  <c r="K31" i="7" s="1"/>
  <c r="K32" i="7" s="1"/>
  <c r="K33" i="7" s="1"/>
  <c r="K34" i="7" s="1"/>
  <c r="K35" i="7" s="1"/>
  <c r="K36" i="7" s="1"/>
  <c r="K37" i="7" s="1"/>
  <c r="K38" i="7" s="1"/>
  <c r="K39" i="7" s="1"/>
  <c r="K40" i="7" s="1"/>
  <c r="K41" i="7" s="1"/>
  <c r="K42" i="7" s="1"/>
  <c r="K43" i="7" s="1"/>
  <c r="K44" i="7" s="1"/>
  <c r="K45" i="7" s="1"/>
  <c r="P14" i="7"/>
  <c r="V11" i="7"/>
  <c r="X11" i="7" s="1"/>
  <c r="Z11" i="7"/>
  <c r="AB11" i="7" s="1"/>
  <c r="Z22" i="7"/>
  <c r="AB22" i="7" s="1"/>
  <c r="V22" i="7"/>
  <c r="X22" i="7" s="1"/>
  <c r="P32" i="7"/>
  <c r="P15" i="7"/>
  <c r="P34" i="7"/>
  <c r="V31" i="7"/>
  <c r="X31" i="7" s="1"/>
  <c r="Z31" i="7"/>
  <c r="AB31" i="7" s="1"/>
  <c r="Z37" i="7"/>
  <c r="AB37" i="7" s="1"/>
  <c r="V37" i="7"/>
  <c r="X37" i="7" s="1"/>
  <c r="V50" i="7"/>
  <c r="X50" i="7" s="1"/>
  <c r="Z50" i="7"/>
  <c r="AB50" i="7" s="1"/>
  <c r="R11" i="7"/>
  <c r="T11" i="7" s="1"/>
  <c r="R18" i="7"/>
  <c r="T18" i="7" s="1"/>
  <c r="R31" i="7"/>
  <c r="T31" i="7" s="1"/>
  <c r="R37" i="7"/>
  <c r="T37" i="7" s="1"/>
  <c r="R49" i="7"/>
  <c r="T49" i="7" s="1"/>
  <c r="O46" i="7"/>
  <c r="O52" i="7" s="1"/>
  <c r="P16" i="7"/>
  <c r="P13" i="7"/>
  <c r="P24" i="7"/>
  <c r="P43" i="7"/>
  <c r="P19" i="7"/>
  <c r="V42" i="7"/>
  <c r="X42" i="7" s="1"/>
  <c r="Z42" i="7"/>
  <c r="AB42" i="7" s="1"/>
  <c r="P38" i="7"/>
  <c r="P41" i="7"/>
  <c r="R10" i="7"/>
  <c r="R22" i="7"/>
  <c r="T22" i="7" s="1"/>
  <c r="R50" i="7"/>
  <c r="T50" i="7" s="1"/>
  <c r="V12" i="7"/>
  <c r="X12" i="7" s="1"/>
  <c r="Z12" i="7"/>
  <c r="AB12" i="7" s="1"/>
  <c r="P17" i="7"/>
  <c r="P36" i="7"/>
  <c r="P20" i="7"/>
  <c r="V44" i="7"/>
  <c r="X44" i="7" s="1"/>
  <c r="P26" i="7"/>
  <c r="V23" i="7"/>
  <c r="X23" i="7" s="1"/>
  <c r="P25" i="7"/>
  <c r="P39" i="7"/>
  <c r="P45" i="7"/>
  <c r="N46" i="7"/>
  <c r="R44" i="7"/>
  <c r="T44" i="7" s="1"/>
  <c r="Z48" i="7"/>
  <c r="AB48" i="7" s="1"/>
  <c r="O75" i="7" s="1"/>
  <c r="V48" i="7"/>
  <c r="X48" i="7" s="1"/>
  <c r="O74" i="7" s="1"/>
  <c r="O77" i="7" s="1"/>
  <c r="Z28" i="7"/>
  <c r="AB28" i="7" s="1"/>
  <c r="P9" i="3"/>
  <c r="J7" i="3"/>
  <c r="E7" i="3"/>
  <c r="D7" i="3"/>
  <c r="C7" i="3"/>
  <c r="J6" i="3"/>
  <c r="E6" i="3"/>
  <c r="D6" i="3"/>
  <c r="C6" i="3"/>
  <c r="J5" i="3"/>
  <c r="E5" i="3"/>
  <c r="D5" i="3"/>
  <c r="C5" i="3"/>
  <c r="K4" i="3"/>
  <c r="J4" i="3"/>
  <c r="I4" i="3"/>
  <c r="H4" i="3"/>
  <c r="G4" i="3"/>
  <c r="F4" i="3"/>
  <c r="E4" i="3"/>
  <c r="D4" i="3"/>
  <c r="C4" i="3"/>
  <c r="K3" i="3"/>
  <c r="J3" i="3"/>
  <c r="I3" i="3"/>
  <c r="H3" i="3"/>
  <c r="G3" i="3"/>
  <c r="F62" i="4"/>
  <c r="V28" i="7" l="1"/>
  <c r="X28" i="7" s="1"/>
  <c r="R35" i="7"/>
  <c r="T35" i="7" s="1"/>
  <c r="Z23" i="7"/>
  <c r="AB23" i="7" s="1"/>
  <c r="Z35" i="7"/>
  <c r="AB35" i="7" s="1"/>
  <c r="R21" i="7"/>
  <c r="T21" i="7" s="1"/>
  <c r="V21" i="7"/>
  <c r="X21" i="7" s="1"/>
  <c r="V39" i="7"/>
  <c r="X39" i="7" s="1"/>
  <c r="Z39" i="7"/>
  <c r="AB39" i="7" s="1"/>
  <c r="R39" i="7"/>
  <c r="T39" i="7" s="1"/>
  <c r="V43" i="7"/>
  <c r="X43" i="7" s="1"/>
  <c r="Z43" i="7"/>
  <c r="AB43" i="7" s="1"/>
  <c r="R43" i="7"/>
  <c r="T43" i="7" s="1"/>
  <c r="Z14" i="7"/>
  <c r="AB14" i="7" s="1"/>
  <c r="V14" i="7"/>
  <c r="X14" i="7" s="1"/>
  <c r="R14" i="7"/>
  <c r="T14" i="7" s="1"/>
  <c r="V25" i="7"/>
  <c r="X25" i="7" s="1"/>
  <c r="Z25" i="7"/>
  <c r="AB25" i="7" s="1"/>
  <c r="R25" i="7"/>
  <c r="T25" i="7" s="1"/>
  <c r="Z17" i="7"/>
  <c r="AB17" i="7" s="1"/>
  <c r="V17" i="7"/>
  <c r="X17" i="7" s="1"/>
  <c r="R17" i="7"/>
  <c r="T17" i="7" s="1"/>
  <c r="V24" i="7"/>
  <c r="X24" i="7" s="1"/>
  <c r="Z24" i="7"/>
  <c r="AB24" i="7" s="1"/>
  <c r="R24" i="7"/>
  <c r="T24" i="7" s="1"/>
  <c r="V16" i="7"/>
  <c r="X16" i="7" s="1"/>
  <c r="Z16" i="7"/>
  <c r="AB16" i="7" s="1"/>
  <c r="R16" i="7"/>
  <c r="T16" i="7" s="1"/>
  <c r="Z34" i="7"/>
  <c r="AB34" i="7" s="1"/>
  <c r="V34" i="7"/>
  <c r="X34" i="7" s="1"/>
  <c r="R34" i="7"/>
  <c r="T34" i="7" s="1"/>
  <c r="AB10" i="7"/>
  <c r="T10" i="7"/>
  <c r="V13" i="7"/>
  <c r="X13" i="7" s="1"/>
  <c r="Z13" i="7"/>
  <c r="AB13" i="7" s="1"/>
  <c r="R13" i="7"/>
  <c r="T13" i="7" s="1"/>
  <c r="V15" i="7"/>
  <c r="X15" i="7" s="1"/>
  <c r="Z15" i="7"/>
  <c r="AB15" i="7" s="1"/>
  <c r="R15" i="7"/>
  <c r="T15" i="7" s="1"/>
  <c r="P46" i="7"/>
  <c r="P52" i="7" s="1"/>
  <c r="X10" i="7"/>
  <c r="V26" i="7"/>
  <c r="X26" i="7" s="1"/>
  <c r="Z26" i="7"/>
  <c r="AB26" i="7" s="1"/>
  <c r="R26" i="7"/>
  <c r="T26" i="7" s="1"/>
  <c r="Z36" i="7"/>
  <c r="AB36" i="7" s="1"/>
  <c r="V36" i="7"/>
  <c r="X36" i="7" s="1"/>
  <c r="R36" i="7"/>
  <c r="T36" i="7" s="1"/>
  <c r="Z38" i="7"/>
  <c r="AB38" i="7" s="1"/>
  <c r="V38" i="7"/>
  <c r="X38" i="7" s="1"/>
  <c r="R38" i="7"/>
  <c r="T38" i="7" s="1"/>
  <c r="V45" i="7"/>
  <c r="X45" i="7" s="1"/>
  <c r="N74" i="7" s="1"/>
  <c r="Z45" i="7"/>
  <c r="AB45" i="7" s="1"/>
  <c r="N75" i="7" s="1"/>
  <c r="R45" i="7"/>
  <c r="T45" i="7" s="1"/>
  <c r="N73" i="7" s="1"/>
  <c r="N77" i="7" s="1"/>
  <c r="V20" i="7"/>
  <c r="X20" i="7" s="1"/>
  <c r="Z20" i="7"/>
  <c r="AB20" i="7" s="1"/>
  <c r="R20" i="7"/>
  <c r="T20" i="7" s="1"/>
  <c r="V41" i="7"/>
  <c r="X41" i="7" s="1"/>
  <c r="Z41" i="7"/>
  <c r="AB41" i="7" s="1"/>
  <c r="R41" i="7"/>
  <c r="T41" i="7" s="1"/>
  <c r="Z19" i="7"/>
  <c r="AB19" i="7" s="1"/>
  <c r="V19" i="7"/>
  <c r="X19" i="7" s="1"/>
  <c r="R19" i="7"/>
  <c r="T19" i="7" s="1"/>
  <c r="Z32" i="7"/>
  <c r="AB32" i="7" s="1"/>
  <c r="V32" i="7"/>
  <c r="X32" i="7" s="1"/>
  <c r="R32" i="7"/>
  <c r="T32" i="7" s="1"/>
  <c r="H34" i="3"/>
  <c r="G34" i="3"/>
  <c r="P34" i="3" s="1"/>
  <c r="F34" i="3"/>
  <c r="O34" i="3" s="1"/>
  <c r="E34" i="3"/>
  <c r="N34" i="3" s="1"/>
  <c r="D34" i="3"/>
  <c r="M34" i="3" s="1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3" i="5"/>
  <c r="O12" i="5"/>
  <c r="O11" i="5"/>
  <c r="O10" i="5"/>
  <c r="O9" i="5"/>
  <c r="O14" i="5"/>
  <c r="D64" i="5"/>
  <c r="I62" i="5"/>
  <c r="M62" i="5" s="1"/>
  <c r="H62" i="5"/>
  <c r="G62" i="5"/>
  <c r="F62" i="5"/>
  <c r="E62" i="5"/>
  <c r="AA44" i="5" s="1"/>
  <c r="I61" i="5"/>
  <c r="H61" i="5"/>
  <c r="W37" i="5" s="1"/>
  <c r="G61" i="5"/>
  <c r="F61" i="5"/>
  <c r="V9" i="5" s="1"/>
  <c r="E61" i="5"/>
  <c r="M60" i="5"/>
  <c r="H60" i="5"/>
  <c r="G60" i="5"/>
  <c r="F60" i="5"/>
  <c r="R9" i="5" s="1"/>
  <c r="E60" i="5"/>
  <c r="S34" i="5" s="1"/>
  <c r="F54" i="5"/>
  <c r="F53" i="5"/>
  <c r="F52" i="5"/>
  <c r="H46" i="5"/>
  <c r="F46" i="5"/>
  <c r="E46" i="5"/>
  <c r="D46" i="5"/>
  <c r="G45" i="5"/>
  <c r="G44" i="5"/>
  <c r="AA43" i="5"/>
  <c r="G43" i="5"/>
  <c r="G42" i="5"/>
  <c r="G41" i="5"/>
  <c r="AA40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Z9" i="5"/>
  <c r="G9" i="5"/>
  <c r="Q34" i="3" l="1"/>
  <c r="X46" i="7"/>
  <c r="X52" i="7" s="1"/>
  <c r="T46" i="7"/>
  <c r="T52" i="7" s="1"/>
  <c r="R46" i="7"/>
  <c r="R52" i="7" s="1"/>
  <c r="V46" i="7"/>
  <c r="V52" i="7" s="1"/>
  <c r="AB46" i="7"/>
  <c r="AB52" i="7" s="1"/>
  <c r="Z46" i="7"/>
  <c r="Z52" i="7" s="1"/>
  <c r="W15" i="5"/>
  <c r="S17" i="5"/>
  <c r="AA28" i="5"/>
  <c r="S26" i="5"/>
  <c r="S35" i="5"/>
  <c r="S11" i="5"/>
  <c r="W20" i="5"/>
  <c r="S41" i="5"/>
  <c r="AA29" i="5"/>
  <c r="AA15" i="5"/>
  <c r="F64" i="5"/>
  <c r="M35" i="5" s="1"/>
  <c r="AA18" i="5"/>
  <c r="W13" i="5"/>
  <c r="W11" i="5"/>
  <c r="W21" i="5"/>
  <c r="S10" i="5"/>
  <c r="W16" i="5"/>
  <c r="S20" i="5"/>
  <c r="S25" i="5"/>
  <c r="W27" i="5"/>
  <c r="W29" i="5"/>
  <c r="S36" i="5"/>
  <c r="K60" i="5"/>
  <c r="W19" i="5"/>
  <c r="W35" i="5"/>
  <c r="M26" i="5"/>
  <c r="M20" i="5"/>
  <c r="M17" i="5"/>
  <c r="M10" i="5"/>
  <c r="M21" i="5"/>
  <c r="M12" i="5"/>
  <c r="M41" i="5"/>
  <c r="M19" i="5"/>
  <c r="M16" i="5"/>
  <c r="M22" i="5"/>
  <c r="M15" i="5"/>
  <c r="M14" i="5"/>
  <c r="M24" i="5"/>
  <c r="M13" i="5"/>
  <c r="AA10" i="5"/>
  <c r="S12" i="5"/>
  <c r="AA16" i="5"/>
  <c r="AA17" i="5"/>
  <c r="S24" i="5"/>
  <c r="AA26" i="5"/>
  <c r="AA34" i="5"/>
  <c r="AA36" i="5"/>
  <c r="AA39" i="5"/>
  <c r="S9" i="5"/>
  <c r="T9" i="5" s="1"/>
  <c r="AA11" i="5"/>
  <c r="AA12" i="5"/>
  <c r="S14" i="5"/>
  <c r="S15" i="5"/>
  <c r="AA20" i="5"/>
  <c r="S22" i="5"/>
  <c r="AA23" i="5"/>
  <c r="AA24" i="5"/>
  <c r="S29" i="5"/>
  <c r="S30" i="5"/>
  <c r="S31" i="5"/>
  <c r="AA32" i="5"/>
  <c r="AA33" i="5"/>
  <c r="AA35" i="5"/>
  <c r="S38" i="5"/>
  <c r="AA42" i="5"/>
  <c r="S44" i="5"/>
  <c r="H64" i="5"/>
  <c r="AA9" i="5"/>
  <c r="S13" i="5"/>
  <c r="AA19" i="5"/>
  <c r="S21" i="5"/>
  <c r="S23" i="5"/>
  <c r="AA25" i="5"/>
  <c r="AA27" i="5"/>
  <c r="S32" i="5"/>
  <c r="S33" i="5"/>
  <c r="S42" i="5"/>
  <c r="S45" i="5"/>
  <c r="K62" i="5"/>
  <c r="AA13" i="5"/>
  <c r="AA14" i="5"/>
  <c r="S16" i="5"/>
  <c r="S18" i="5"/>
  <c r="S19" i="5"/>
  <c r="AA21" i="5"/>
  <c r="AA22" i="5"/>
  <c r="S27" i="5"/>
  <c r="S28" i="5"/>
  <c r="AA30" i="5"/>
  <c r="AA31" i="5"/>
  <c r="S37" i="5"/>
  <c r="AA38" i="5"/>
  <c r="S40" i="5"/>
  <c r="G64" i="5"/>
  <c r="E47" i="5"/>
  <c r="W42" i="5"/>
  <c r="W38" i="5"/>
  <c r="W40" i="5"/>
  <c r="W39" i="5"/>
  <c r="W34" i="5"/>
  <c r="W30" i="5"/>
  <c r="W26" i="5"/>
  <c r="W22" i="5"/>
  <c r="W44" i="5"/>
  <c r="W43" i="5"/>
  <c r="W36" i="5"/>
  <c r="W32" i="5"/>
  <c r="W28" i="5"/>
  <c r="W24" i="5"/>
  <c r="I64" i="5"/>
  <c r="K61" i="5"/>
  <c r="K64" i="5" s="1"/>
  <c r="M61" i="5"/>
  <c r="M64" i="5" s="1"/>
  <c r="W18" i="5"/>
  <c r="W23" i="5"/>
  <c r="W25" i="5"/>
  <c r="W33" i="5"/>
  <c r="W45" i="5"/>
  <c r="F55" i="5"/>
  <c r="G53" i="5" s="1"/>
  <c r="H53" i="5" s="1"/>
  <c r="I53" i="5" s="1"/>
  <c r="M42" i="5"/>
  <c r="M44" i="5"/>
  <c r="M43" i="5"/>
  <c r="M34" i="5"/>
  <c r="M27" i="5"/>
  <c r="M23" i="5"/>
  <c r="M40" i="5"/>
  <c r="M36" i="5"/>
  <c r="M32" i="5"/>
  <c r="M28" i="5"/>
  <c r="G46" i="5"/>
  <c r="W9" i="5"/>
  <c r="W10" i="5"/>
  <c r="W12" i="5"/>
  <c r="W14" i="5"/>
  <c r="I46" i="5"/>
  <c r="W17" i="5"/>
  <c r="M29" i="5"/>
  <c r="W31" i="5"/>
  <c r="M37" i="5"/>
  <c r="W41" i="5"/>
  <c r="M45" i="5"/>
  <c r="E64" i="5"/>
  <c r="S43" i="5"/>
  <c r="S39" i="5"/>
  <c r="AA45" i="5"/>
  <c r="AA41" i="5"/>
  <c r="AA37" i="5"/>
  <c r="O46" i="5"/>
  <c r="O50" i="5" s="1"/>
  <c r="G54" i="5" l="1"/>
  <c r="H54" i="5" s="1"/>
  <c r="I54" i="5" s="1"/>
  <c r="G52" i="5"/>
  <c r="H52" i="5" s="1"/>
  <c r="I52" i="5" s="1"/>
  <c r="M18" i="5"/>
  <c r="M25" i="5"/>
  <c r="M39" i="5"/>
  <c r="M30" i="5"/>
  <c r="M38" i="5"/>
  <c r="M33" i="5"/>
  <c r="M31" i="5"/>
  <c r="M9" i="5"/>
  <c r="K9" i="5" s="1"/>
  <c r="M11" i="5"/>
  <c r="AA46" i="5"/>
  <c r="G33" i="3"/>
  <c r="P33" i="3" s="1"/>
  <c r="E33" i="3"/>
  <c r="N33" i="3" s="1"/>
  <c r="F32" i="3"/>
  <c r="O32" i="3" s="1"/>
  <c r="E32" i="3"/>
  <c r="N32" i="3" s="1"/>
  <c r="G32" i="3"/>
  <c r="P32" i="3" s="1"/>
  <c r="S46" i="5"/>
  <c r="W46" i="5"/>
  <c r="N43" i="5"/>
  <c r="P43" i="5" s="1"/>
  <c r="V43" i="5" s="1"/>
  <c r="X43" i="5" s="1"/>
  <c r="N39" i="5"/>
  <c r="P39" i="5" s="1"/>
  <c r="N45" i="5"/>
  <c r="P45" i="5" s="1"/>
  <c r="Z45" i="5" s="1"/>
  <c r="AB45" i="5" s="1"/>
  <c r="N35" i="5"/>
  <c r="P35" i="5" s="1"/>
  <c r="Z35" i="5" s="1"/>
  <c r="AB35" i="5" s="1"/>
  <c r="N31" i="5"/>
  <c r="N24" i="5"/>
  <c r="P24" i="5" s="1"/>
  <c r="V24" i="5" s="1"/>
  <c r="X24" i="5" s="1"/>
  <c r="N41" i="5"/>
  <c r="P41" i="5" s="1"/>
  <c r="N37" i="5"/>
  <c r="P37" i="5" s="1"/>
  <c r="N33" i="5"/>
  <c r="N29" i="5"/>
  <c r="P29" i="5" s="1"/>
  <c r="N26" i="5"/>
  <c r="P26" i="5" s="1"/>
  <c r="V26" i="5" s="1"/>
  <c r="X26" i="5" s="1"/>
  <c r="N44" i="5"/>
  <c r="P44" i="5" s="1"/>
  <c r="R44" i="5" s="1"/>
  <c r="T44" i="5" s="1"/>
  <c r="N38" i="5"/>
  <c r="P38" i="5" s="1"/>
  <c r="N36" i="5"/>
  <c r="P36" i="5" s="1"/>
  <c r="N28" i="5"/>
  <c r="P28" i="5" s="1"/>
  <c r="N19" i="5"/>
  <c r="P19" i="5" s="1"/>
  <c r="V19" i="5" s="1"/>
  <c r="X19" i="5" s="1"/>
  <c r="N15" i="5"/>
  <c r="P15" i="5" s="1"/>
  <c r="N13" i="5"/>
  <c r="P13" i="5" s="1"/>
  <c r="N11" i="5"/>
  <c r="N42" i="5"/>
  <c r="P42" i="5" s="1"/>
  <c r="N30" i="5"/>
  <c r="N25" i="5"/>
  <c r="N20" i="5"/>
  <c r="P20" i="5" s="1"/>
  <c r="N16" i="5"/>
  <c r="P16" i="5" s="1"/>
  <c r="R16" i="5" s="1"/>
  <c r="T16" i="5" s="1"/>
  <c r="N34" i="5"/>
  <c r="P34" i="5" s="1"/>
  <c r="N32" i="5"/>
  <c r="P32" i="5" s="1"/>
  <c r="N12" i="5"/>
  <c r="P12" i="5" s="1"/>
  <c r="Z12" i="5" s="1"/>
  <c r="AB12" i="5" s="1"/>
  <c r="N40" i="5"/>
  <c r="P40" i="5" s="1"/>
  <c r="N22" i="5"/>
  <c r="P22" i="5" s="1"/>
  <c r="V22" i="5" s="1"/>
  <c r="X22" i="5" s="1"/>
  <c r="N18" i="5"/>
  <c r="N17" i="5"/>
  <c r="P17" i="5" s="1"/>
  <c r="Z17" i="5" s="1"/>
  <c r="AB17" i="5" s="1"/>
  <c r="N27" i="5"/>
  <c r="P27" i="5" s="1"/>
  <c r="N23" i="5"/>
  <c r="N21" i="5"/>
  <c r="P21" i="5" s="1"/>
  <c r="N14" i="5"/>
  <c r="P14" i="5" s="1"/>
  <c r="Z14" i="5" s="1"/>
  <c r="AB14" i="5" s="1"/>
  <c r="N10" i="5"/>
  <c r="P23" i="5"/>
  <c r="V23" i="5" s="1"/>
  <c r="X23" i="5" s="1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I25" i="4"/>
  <c r="G25" i="4"/>
  <c r="I24" i="4"/>
  <c r="G24" i="4"/>
  <c r="I23" i="4"/>
  <c r="G23" i="4"/>
  <c r="I22" i="4"/>
  <c r="G22" i="4"/>
  <c r="I21" i="4"/>
  <c r="G21" i="4"/>
  <c r="I20" i="4"/>
  <c r="G20" i="4"/>
  <c r="I19" i="4"/>
  <c r="G19" i="4"/>
  <c r="I18" i="4"/>
  <c r="G18" i="4"/>
  <c r="I17" i="4"/>
  <c r="G17" i="4"/>
  <c r="I16" i="4"/>
  <c r="G16" i="4"/>
  <c r="G15" i="4"/>
  <c r="G14" i="4"/>
  <c r="G13" i="4"/>
  <c r="G12" i="4"/>
  <c r="G11" i="4"/>
  <c r="G10" i="4"/>
  <c r="G9" i="4"/>
  <c r="R20" i="5" l="1"/>
  <c r="T20" i="5" s="1"/>
  <c r="G73" i="5"/>
  <c r="G35" i="3" s="1"/>
  <c r="P35" i="3" s="1"/>
  <c r="P9" i="5"/>
  <c r="P30" i="5"/>
  <c r="R30" i="5" s="1"/>
  <c r="T30" i="5" s="1"/>
  <c r="R15" i="5"/>
  <c r="T15" i="5" s="1"/>
  <c r="P33" i="5"/>
  <c r="Z33" i="5" s="1"/>
  <c r="AB33" i="5" s="1"/>
  <c r="P31" i="5"/>
  <c r="Z31" i="5" s="1"/>
  <c r="AB31" i="5" s="1"/>
  <c r="F31" i="3"/>
  <c r="O31" i="3" s="1"/>
  <c r="F33" i="3"/>
  <c r="O33" i="3" s="1"/>
  <c r="R41" i="5"/>
  <c r="T41" i="5" s="1"/>
  <c r="R23" i="5"/>
  <c r="T23" i="5" s="1"/>
  <c r="R35" i="5"/>
  <c r="T35" i="5" s="1"/>
  <c r="R21" i="5"/>
  <c r="T21" i="5" s="1"/>
  <c r="R13" i="5"/>
  <c r="T13" i="5" s="1"/>
  <c r="R36" i="5"/>
  <c r="T36" i="5" s="1"/>
  <c r="E31" i="3"/>
  <c r="N31" i="3" s="1"/>
  <c r="V33" i="5"/>
  <c r="X33" i="5" s="1"/>
  <c r="Z19" i="5"/>
  <c r="AB19" i="5" s="1"/>
  <c r="R22" i="5"/>
  <c r="T22" i="5" s="1"/>
  <c r="P11" i="5"/>
  <c r="R11" i="5" s="1"/>
  <c r="T11" i="5" s="1"/>
  <c r="M46" i="5"/>
  <c r="P18" i="5"/>
  <c r="Z18" i="5" s="1"/>
  <c r="AB18" i="5" s="1"/>
  <c r="P25" i="5"/>
  <c r="R25" i="5" s="1"/>
  <c r="T25" i="5" s="1"/>
  <c r="R19" i="5"/>
  <c r="T19" i="5" s="1"/>
  <c r="R17" i="5"/>
  <c r="T17" i="5" s="1"/>
  <c r="V17" i="5"/>
  <c r="X17" i="5" s="1"/>
  <c r="Z41" i="5"/>
  <c r="AB41" i="5" s="1"/>
  <c r="Z23" i="5"/>
  <c r="AB23" i="5" s="1"/>
  <c r="V44" i="5"/>
  <c r="X44" i="5" s="1"/>
  <c r="Z13" i="5"/>
  <c r="AB13" i="5" s="1"/>
  <c r="Z16" i="5"/>
  <c r="AB16" i="5" s="1"/>
  <c r="V28" i="5"/>
  <c r="X28" i="5" s="1"/>
  <c r="R28" i="5"/>
  <c r="T28" i="5" s="1"/>
  <c r="Z28" i="5"/>
  <c r="AB28" i="5" s="1"/>
  <c r="Z40" i="5"/>
  <c r="AB40" i="5" s="1"/>
  <c r="R40" i="5"/>
  <c r="T40" i="5" s="1"/>
  <c r="R26" i="5"/>
  <c r="T26" i="5" s="1"/>
  <c r="V12" i="5"/>
  <c r="X12" i="5" s="1"/>
  <c r="V20" i="5"/>
  <c r="X20" i="5" s="1"/>
  <c r="V41" i="5"/>
  <c r="X41" i="5" s="1"/>
  <c r="Z20" i="5"/>
  <c r="AB20" i="5" s="1"/>
  <c r="Z26" i="5"/>
  <c r="AB26" i="5" s="1"/>
  <c r="AB46" i="5" s="1"/>
  <c r="AB50" i="5" s="1"/>
  <c r="R12" i="5"/>
  <c r="T12" i="5" s="1"/>
  <c r="F73" i="5"/>
  <c r="F35" i="3" s="1"/>
  <c r="O35" i="3" s="1"/>
  <c r="D33" i="3"/>
  <c r="M33" i="3" s="1"/>
  <c r="V14" i="5"/>
  <c r="X14" i="5" s="1"/>
  <c r="Z43" i="5"/>
  <c r="AB43" i="5" s="1"/>
  <c r="Z15" i="5"/>
  <c r="AB15" i="5" s="1"/>
  <c r="Z24" i="5"/>
  <c r="AB24" i="5" s="1"/>
  <c r="R31" i="5"/>
  <c r="T31" i="5" s="1"/>
  <c r="R14" i="5"/>
  <c r="T14" i="5" s="1"/>
  <c r="D31" i="3"/>
  <c r="M31" i="3" s="1"/>
  <c r="Z11" i="5"/>
  <c r="AB11" i="5" s="1"/>
  <c r="D32" i="3"/>
  <c r="M32" i="3" s="1"/>
  <c r="H70" i="5"/>
  <c r="H32" i="3" s="1"/>
  <c r="R45" i="5"/>
  <c r="T45" i="5" s="1"/>
  <c r="V13" i="5"/>
  <c r="X13" i="5" s="1"/>
  <c r="V40" i="5"/>
  <c r="X40" i="5" s="1"/>
  <c r="Z22" i="5"/>
  <c r="AB22" i="5" s="1"/>
  <c r="R24" i="5"/>
  <c r="T24" i="5" s="1"/>
  <c r="Z27" i="5"/>
  <c r="AB27" i="5" s="1"/>
  <c r="R27" i="5"/>
  <c r="T27" i="5" s="1"/>
  <c r="V27" i="5"/>
  <c r="X27" i="5" s="1"/>
  <c r="R42" i="5"/>
  <c r="T42" i="5" s="1"/>
  <c r="Z42" i="5"/>
  <c r="AB42" i="5" s="1"/>
  <c r="V42" i="5"/>
  <c r="X42" i="5" s="1"/>
  <c r="R37" i="5"/>
  <c r="T37" i="5" s="1"/>
  <c r="V37" i="5"/>
  <c r="X37" i="5" s="1"/>
  <c r="Z37" i="5"/>
  <c r="AB37" i="5" s="1"/>
  <c r="V32" i="5"/>
  <c r="X32" i="5" s="1"/>
  <c r="R32" i="5"/>
  <c r="T32" i="5" s="1"/>
  <c r="Z32" i="5"/>
  <c r="AB32" i="5" s="1"/>
  <c r="R29" i="5"/>
  <c r="T29" i="5" s="1"/>
  <c r="Z29" i="5"/>
  <c r="AB29" i="5" s="1"/>
  <c r="V29" i="5"/>
  <c r="X29" i="5" s="1"/>
  <c r="V39" i="5"/>
  <c r="X39" i="5" s="1"/>
  <c r="R39" i="5"/>
  <c r="T39" i="5" s="1"/>
  <c r="Z39" i="5"/>
  <c r="AB39" i="5" s="1"/>
  <c r="V34" i="5"/>
  <c r="X34" i="5" s="1"/>
  <c r="R34" i="5"/>
  <c r="T34" i="5" s="1"/>
  <c r="Z34" i="5"/>
  <c r="AB34" i="5" s="1"/>
  <c r="V38" i="5"/>
  <c r="X38" i="5" s="1"/>
  <c r="R38" i="5"/>
  <c r="T38" i="5" s="1"/>
  <c r="Z38" i="5"/>
  <c r="AB38" i="5" s="1"/>
  <c r="V45" i="5"/>
  <c r="X45" i="5" s="1"/>
  <c r="R43" i="5"/>
  <c r="T43" i="5" s="1"/>
  <c r="V15" i="5"/>
  <c r="X15" i="5" s="1"/>
  <c r="V31" i="5"/>
  <c r="X31" i="5" s="1"/>
  <c r="V21" i="5"/>
  <c r="X21" i="5" s="1"/>
  <c r="N46" i="5"/>
  <c r="K10" i="5"/>
  <c r="P10" i="5"/>
  <c r="V16" i="5"/>
  <c r="X16" i="5" s="1"/>
  <c r="V36" i="5"/>
  <c r="X36" i="5" s="1"/>
  <c r="V35" i="5"/>
  <c r="X35" i="5" s="1"/>
  <c r="Z21" i="5"/>
  <c r="AB21" i="5" s="1"/>
  <c r="Z30" i="5"/>
  <c r="AB30" i="5" s="1"/>
  <c r="Z36" i="5"/>
  <c r="AB36" i="5" s="1"/>
  <c r="Z44" i="5"/>
  <c r="AB44" i="5" s="1"/>
  <c r="C20" i="3"/>
  <c r="D20" i="3"/>
  <c r="E20" i="3"/>
  <c r="F20" i="3"/>
  <c r="G20" i="3"/>
  <c r="H20" i="3"/>
  <c r="I20" i="3"/>
  <c r="K20" i="3"/>
  <c r="M20" i="3"/>
  <c r="N20" i="3"/>
  <c r="O20" i="3"/>
  <c r="C21" i="3"/>
  <c r="D21" i="3"/>
  <c r="E21" i="3"/>
  <c r="F21" i="3"/>
  <c r="G21" i="3"/>
  <c r="H21" i="3"/>
  <c r="I21" i="3"/>
  <c r="K21" i="3"/>
  <c r="M21" i="3"/>
  <c r="N21" i="3"/>
  <c r="O21" i="3"/>
  <c r="C22" i="3"/>
  <c r="D22" i="3"/>
  <c r="I22" i="3"/>
  <c r="C23" i="3"/>
  <c r="D23" i="3"/>
  <c r="C24" i="3"/>
  <c r="D24" i="3"/>
  <c r="D25" i="3"/>
  <c r="E25" i="3"/>
  <c r="F25" i="3"/>
  <c r="G25" i="3"/>
  <c r="H25" i="3"/>
  <c r="C26" i="3"/>
  <c r="C11" i="3"/>
  <c r="D11" i="3"/>
  <c r="E11" i="3"/>
  <c r="F11" i="3"/>
  <c r="G11" i="3"/>
  <c r="H11" i="3"/>
  <c r="I11" i="3"/>
  <c r="K11" i="3"/>
  <c r="M11" i="3"/>
  <c r="N11" i="3"/>
  <c r="O11" i="3"/>
  <c r="C12" i="3"/>
  <c r="D12" i="3"/>
  <c r="E12" i="3"/>
  <c r="F12" i="3"/>
  <c r="G12" i="3"/>
  <c r="H12" i="3"/>
  <c r="I12" i="3"/>
  <c r="K12" i="3"/>
  <c r="M12" i="3"/>
  <c r="D63" i="3" s="1"/>
  <c r="N12" i="3"/>
  <c r="O12" i="3"/>
  <c r="C13" i="3"/>
  <c r="D13" i="3"/>
  <c r="I13" i="3"/>
  <c r="C14" i="3"/>
  <c r="D14" i="3"/>
  <c r="C15" i="3"/>
  <c r="D15" i="3"/>
  <c r="D16" i="3"/>
  <c r="E16" i="3"/>
  <c r="F16" i="3"/>
  <c r="G16" i="3"/>
  <c r="H16" i="3"/>
  <c r="C17" i="3"/>
  <c r="D77" i="2"/>
  <c r="D26" i="3" s="1"/>
  <c r="I75" i="2"/>
  <c r="M75" i="2" s="1"/>
  <c r="M24" i="3" s="1"/>
  <c r="K44" i="3" s="1"/>
  <c r="H75" i="2"/>
  <c r="G75" i="2"/>
  <c r="G24" i="3" s="1"/>
  <c r="F75" i="2"/>
  <c r="Z9" i="2" s="1"/>
  <c r="E75" i="2"/>
  <c r="E24" i="3" s="1"/>
  <c r="I74" i="2"/>
  <c r="I23" i="3" s="1"/>
  <c r="H74" i="2"/>
  <c r="G74" i="2"/>
  <c r="G23" i="3" s="1"/>
  <c r="F74" i="2"/>
  <c r="F23" i="3" s="1"/>
  <c r="E74" i="2"/>
  <c r="M73" i="2"/>
  <c r="M22" i="3" s="1"/>
  <c r="K42" i="3" s="1"/>
  <c r="H73" i="2"/>
  <c r="S26" i="2" s="1"/>
  <c r="G73" i="2"/>
  <c r="F73" i="2"/>
  <c r="K73" i="2" s="1"/>
  <c r="K22" i="3" s="1"/>
  <c r="E73" i="2"/>
  <c r="F68" i="2"/>
  <c r="F67" i="2"/>
  <c r="F66" i="2"/>
  <c r="F60" i="2"/>
  <c r="H46" i="2"/>
  <c r="F46" i="2"/>
  <c r="E46" i="2"/>
  <c r="D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I21" i="2"/>
  <c r="G21" i="2"/>
  <c r="I20" i="2"/>
  <c r="G20" i="2"/>
  <c r="I19" i="2"/>
  <c r="G19" i="2"/>
  <c r="I18" i="2"/>
  <c r="G18" i="2"/>
  <c r="I17" i="2"/>
  <c r="G17" i="2"/>
  <c r="I16" i="2"/>
  <c r="G16" i="2"/>
  <c r="G15" i="2"/>
  <c r="G14" i="2"/>
  <c r="G13" i="2"/>
  <c r="G12" i="2"/>
  <c r="G11" i="2"/>
  <c r="G10" i="2"/>
  <c r="G9" i="2"/>
  <c r="E42" i="3" l="1"/>
  <c r="F42" i="3"/>
  <c r="G42" i="3"/>
  <c r="D44" i="3"/>
  <c r="I44" i="3"/>
  <c r="Q32" i="3"/>
  <c r="D42" i="3"/>
  <c r="I42" i="3"/>
  <c r="Q33" i="3"/>
  <c r="E44" i="3"/>
  <c r="G44" i="3"/>
  <c r="H44" i="3"/>
  <c r="F44" i="3"/>
  <c r="D73" i="5"/>
  <c r="D35" i="3" s="1"/>
  <c r="M35" i="3" s="1"/>
  <c r="Z25" i="5"/>
  <c r="AB25" i="5" s="1"/>
  <c r="V25" i="5"/>
  <c r="X25" i="5" s="1"/>
  <c r="H71" i="5"/>
  <c r="H33" i="3" s="1"/>
  <c r="H69" i="5"/>
  <c r="H31" i="3" s="1"/>
  <c r="S14" i="2"/>
  <c r="R9" i="2"/>
  <c r="S30" i="2"/>
  <c r="S32" i="2"/>
  <c r="W18" i="2"/>
  <c r="AA17" i="2"/>
  <c r="V9" i="2"/>
  <c r="S28" i="2"/>
  <c r="S50" i="2"/>
  <c r="F61" i="2"/>
  <c r="O34" i="2" s="1"/>
  <c r="S19" i="2"/>
  <c r="S24" i="2"/>
  <c r="AA39" i="2"/>
  <c r="K11" i="5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K26" i="5" s="1"/>
  <c r="K27" i="5" s="1"/>
  <c r="K28" i="5" s="1"/>
  <c r="K29" i="5" s="1"/>
  <c r="K30" i="5" s="1"/>
  <c r="K31" i="5" s="1"/>
  <c r="K32" i="5" s="1"/>
  <c r="K33" i="5" s="1"/>
  <c r="K34" i="5" s="1"/>
  <c r="K35" i="5" s="1"/>
  <c r="K36" i="5" s="1"/>
  <c r="K37" i="5" s="1"/>
  <c r="K38" i="5" s="1"/>
  <c r="K39" i="5" s="1"/>
  <c r="K40" i="5" s="1"/>
  <c r="K41" i="5" s="1"/>
  <c r="K42" i="5" s="1"/>
  <c r="K43" i="5" s="1"/>
  <c r="K44" i="5" s="1"/>
  <c r="K45" i="5" s="1"/>
  <c r="E23" i="6" s="1"/>
  <c r="V30" i="5"/>
  <c r="X30" i="5" s="1"/>
  <c r="E73" i="5"/>
  <c r="E35" i="3" s="1"/>
  <c r="N35" i="3" s="1"/>
  <c r="V11" i="5"/>
  <c r="X11" i="5" s="1"/>
  <c r="G31" i="3"/>
  <c r="P31" i="3" s="1"/>
  <c r="H42" i="3" s="1"/>
  <c r="R33" i="5"/>
  <c r="T33" i="5" s="1"/>
  <c r="V18" i="5"/>
  <c r="X18" i="5" s="1"/>
  <c r="R18" i="5"/>
  <c r="T18" i="5" s="1"/>
  <c r="R10" i="5"/>
  <c r="Z10" i="5"/>
  <c r="P46" i="5"/>
  <c r="P50" i="5" s="1"/>
  <c r="V10" i="5"/>
  <c r="S21" i="2"/>
  <c r="S13" i="2"/>
  <c r="AA15" i="2"/>
  <c r="S23" i="2"/>
  <c r="G77" i="2"/>
  <c r="S43" i="2"/>
  <c r="S48" i="2"/>
  <c r="AA11" i="2"/>
  <c r="S22" i="2"/>
  <c r="S25" i="2"/>
  <c r="S29" i="2"/>
  <c r="S51" i="2"/>
  <c r="W28" i="2"/>
  <c r="F22" i="3"/>
  <c r="E22" i="3"/>
  <c r="S10" i="2"/>
  <c r="AA16" i="2"/>
  <c r="S20" i="2"/>
  <c r="S27" i="2"/>
  <c r="S31" i="2"/>
  <c r="S41" i="2"/>
  <c r="AA49" i="2"/>
  <c r="H24" i="3"/>
  <c r="AA10" i="2"/>
  <c r="AA14" i="2"/>
  <c r="AA18" i="2"/>
  <c r="AA19" i="2"/>
  <c r="AA20" i="2"/>
  <c r="W21" i="2"/>
  <c r="W24" i="2"/>
  <c r="AA41" i="2"/>
  <c r="E47" i="2"/>
  <c r="AA48" i="2"/>
  <c r="AA51" i="2"/>
  <c r="AA9" i="2"/>
  <c r="S12" i="2"/>
  <c r="AA13" i="2"/>
  <c r="AA21" i="2"/>
  <c r="AA22" i="2"/>
  <c r="AA23" i="2"/>
  <c r="AA24" i="2"/>
  <c r="AA25" i="2"/>
  <c r="AA26" i="2"/>
  <c r="AA27" i="2"/>
  <c r="AA28" i="2"/>
  <c r="AA29" i="2"/>
  <c r="AA30" i="2"/>
  <c r="AA31" i="2"/>
  <c r="W32" i="2"/>
  <c r="S33" i="2"/>
  <c r="S34" i="2"/>
  <c r="S35" i="2"/>
  <c r="S36" i="2"/>
  <c r="S37" i="2"/>
  <c r="AA43" i="2"/>
  <c r="S45" i="2"/>
  <c r="AA50" i="2"/>
  <c r="F62" i="2"/>
  <c r="F77" i="2"/>
  <c r="F26" i="3" s="1"/>
  <c r="F24" i="3"/>
  <c r="E23" i="3"/>
  <c r="H22" i="3"/>
  <c r="S9" i="2"/>
  <c r="T9" i="2" s="1"/>
  <c r="S11" i="2"/>
  <c r="AA12" i="2"/>
  <c r="S15" i="2"/>
  <c r="S16" i="2"/>
  <c r="S17" i="2"/>
  <c r="S18" i="2"/>
  <c r="AA32" i="2"/>
  <c r="AA33" i="2"/>
  <c r="AA34" i="2"/>
  <c r="AA35" i="2"/>
  <c r="AA36" i="2"/>
  <c r="AA37" i="2"/>
  <c r="S39" i="2"/>
  <c r="AA45" i="2"/>
  <c r="S49" i="2"/>
  <c r="F69" i="2"/>
  <c r="G66" i="2" s="1"/>
  <c r="H66" i="2" s="1"/>
  <c r="I66" i="2" s="1"/>
  <c r="H77" i="2"/>
  <c r="H26" i="3" s="1"/>
  <c r="I24" i="3"/>
  <c r="H23" i="3"/>
  <c r="G22" i="3"/>
  <c r="K75" i="2"/>
  <c r="W16" i="2"/>
  <c r="W20" i="2"/>
  <c r="W51" i="2"/>
  <c r="W50" i="2"/>
  <c r="W49" i="2"/>
  <c r="W48" i="2"/>
  <c r="W45" i="2"/>
  <c r="W41" i="2"/>
  <c r="W37" i="2"/>
  <c r="W43" i="2"/>
  <c r="W39" i="2"/>
  <c r="W33" i="2"/>
  <c r="W29" i="2"/>
  <c r="W34" i="2"/>
  <c r="W30" i="2"/>
  <c r="W26" i="2"/>
  <c r="W22" i="2"/>
  <c r="W44" i="2"/>
  <c r="W40" i="2"/>
  <c r="W31" i="2"/>
  <c r="W25" i="2"/>
  <c r="W23" i="2"/>
  <c r="W17" i="2"/>
  <c r="W14" i="2"/>
  <c r="W12" i="2"/>
  <c r="W10" i="2"/>
  <c r="W9" i="2"/>
  <c r="W42" i="2"/>
  <c r="W38" i="2"/>
  <c r="W35" i="2"/>
  <c r="W27" i="2"/>
  <c r="W19" i="2"/>
  <c r="W15" i="2"/>
  <c r="W13" i="2"/>
  <c r="W11" i="2"/>
  <c r="I77" i="2"/>
  <c r="I26" i="3" s="1"/>
  <c r="K74" i="2"/>
  <c r="K23" i="3" s="1"/>
  <c r="M74" i="2"/>
  <c r="M23" i="3" s="1"/>
  <c r="K43" i="3" s="1"/>
  <c r="W36" i="2"/>
  <c r="G68" i="2"/>
  <c r="H68" i="2" s="1"/>
  <c r="K68" i="2" s="1"/>
  <c r="G46" i="2"/>
  <c r="I46" i="2"/>
  <c r="E77" i="2"/>
  <c r="E26" i="3" s="1"/>
  <c r="S42" i="2"/>
  <c r="S38" i="2"/>
  <c r="S44" i="2"/>
  <c r="S40" i="2"/>
  <c r="AA44" i="2"/>
  <c r="AA40" i="2"/>
  <c r="AA42" i="2"/>
  <c r="AA38" i="2"/>
  <c r="M75" i="4"/>
  <c r="M13" i="3" s="1"/>
  <c r="D79" i="4"/>
  <c r="D17" i="3" s="1"/>
  <c r="G77" i="4"/>
  <c r="G15" i="3" s="1"/>
  <c r="G76" i="4"/>
  <c r="G14" i="3" s="1"/>
  <c r="G75" i="4"/>
  <c r="G13" i="3" s="1"/>
  <c r="H77" i="4"/>
  <c r="H15" i="3" s="1"/>
  <c r="F77" i="4"/>
  <c r="E77" i="4"/>
  <c r="H76" i="4"/>
  <c r="H14" i="3" s="1"/>
  <c r="F76" i="4"/>
  <c r="E76" i="4"/>
  <c r="H75" i="4"/>
  <c r="H13" i="3" s="1"/>
  <c r="F75" i="4"/>
  <c r="K75" i="4" s="1"/>
  <c r="K13" i="3" s="1"/>
  <c r="E75" i="4"/>
  <c r="S14" i="4" s="1"/>
  <c r="Q35" i="3" l="1"/>
  <c r="S30" i="4"/>
  <c r="S48" i="4"/>
  <c r="D64" i="3"/>
  <c r="F64" i="3" s="1"/>
  <c r="H64" i="3" s="1"/>
  <c r="F51" i="3"/>
  <c r="D51" i="3"/>
  <c r="E51" i="3"/>
  <c r="G51" i="3"/>
  <c r="Q31" i="3"/>
  <c r="I43" i="3"/>
  <c r="D43" i="3"/>
  <c r="H43" i="3"/>
  <c r="F43" i="3"/>
  <c r="G43" i="3"/>
  <c r="E43" i="3"/>
  <c r="H73" i="5"/>
  <c r="H35" i="3" s="1"/>
  <c r="K66" i="2"/>
  <c r="G67" i="2"/>
  <c r="H67" i="2" s="1"/>
  <c r="K67" i="2" s="1"/>
  <c r="M9" i="2"/>
  <c r="K9" i="2" s="1"/>
  <c r="O45" i="2"/>
  <c r="M31" i="2"/>
  <c r="O51" i="2"/>
  <c r="M41" i="2"/>
  <c r="O24" i="2"/>
  <c r="O30" i="2"/>
  <c r="O31" i="2"/>
  <c r="O38" i="2"/>
  <c r="O39" i="2"/>
  <c r="M14" i="2"/>
  <c r="M18" i="2"/>
  <c r="O42" i="2"/>
  <c r="O28" i="2"/>
  <c r="O37" i="2"/>
  <c r="O29" i="2"/>
  <c r="O36" i="2"/>
  <c r="O49" i="2"/>
  <c r="O43" i="2"/>
  <c r="M44" i="2"/>
  <c r="M30" i="2"/>
  <c r="O40" i="2"/>
  <c r="O26" i="2"/>
  <c r="O35" i="2"/>
  <c r="O27" i="2"/>
  <c r="O23" i="2"/>
  <c r="O22" i="2"/>
  <c r="O48" i="2"/>
  <c r="O41" i="2"/>
  <c r="O50" i="2"/>
  <c r="M20" i="2"/>
  <c r="M29" i="2"/>
  <c r="G26" i="3"/>
  <c r="O32" i="2"/>
  <c r="O44" i="2"/>
  <c r="O33" i="2"/>
  <c r="O25" i="2"/>
  <c r="H79" i="4"/>
  <c r="H17" i="3" s="1"/>
  <c r="S38" i="4"/>
  <c r="S22" i="4"/>
  <c r="W49" i="4"/>
  <c r="E14" i="3"/>
  <c r="Z9" i="4"/>
  <c r="F15" i="3"/>
  <c r="W19" i="4"/>
  <c r="W43" i="4"/>
  <c r="E13" i="3"/>
  <c r="F79" i="4"/>
  <c r="F17" i="3" s="1"/>
  <c r="F14" i="3"/>
  <c r="S15" i="4"/>
  <c r="S23" i="4"/>
  <c r="S31" i="4"/>
  <c r="S39" i="4"/>
  <c r="S49" i="4"/>
  <c r="V9" i="4"/>
  <c r="W23" i="4"/>
  <c r="R9" i="4"/>
  <c r="F13" i="3"/>
  <c r="S10" i="4"/>
  <c r="S18" i="4"/>
  <c r="S26" i="4"/>
  <c r="S34" i="4"/>
  <c r="S42" i="4"/>
  <c r="S52" i="4"/>
  <c r="W11" i="4"/>
  <c r="W27" i="4"/>
  <c r="AA49" i="4"/>
  <c r="E15" i="3"/>
  <c r="G79" i="4"/>
  <c r="G17" i="3" s="1"/>
  <c r="S11" i="4"/>
  <c r="S19" i="4"/>
  <c r="S27" i="4"/>
  <c r="S35" i="4"/>
  <c r="S43" i="4"/>
  <c r="W15" i="4"/>
  <c r="W35" i="4"/>
  <c r="X10" i="5"/>
  <c r="X46" i="5" s="1"/>
  <c r="X50" i="5" s="1"/>
  <c r="V46" i="5"/>
  <c r="V50" i="5" s="1"/>
  <c r="AB10" i="5"/>
  <c r="Z46" i="5"/>
  <c r="Z50" i="5" s="1"/>
  <c r="T10" i="5"/>
  <c r="T46" i="5" s="1"/>
  <c r="T50" i="5" s="1"/>
  <c r="T52" i="5" s="1"/>
  <c r="R46" i="5"/>
  <c r="R50" i="5" s="1"/>
  <c r="P48" i="2"/>
  <c r="R48" i="2" s="1"/>
  <c r="T48" i="2" s="1"/>
  <c r="O73" i="2" s="1"/>
  <c r="O22" i="3" s="1"/>
  <c r="M13" i="2"/>
  <c r="M22" i="2"/>
  <c r="M32" i="2"/>
  <c r="M37" i="2"/>
  <c r="M77" i="2"/>
  <c r="M26" i="3" s="1"/>
  <c r="M15" i="2"/>
  <c r="M12" i="2"/>
  <c r="M25" i="2"/>
  <c r="M23" i="2"/>
  <c r="M39" i="2"/>
  <c r="P51" i="2"/>
  <c r="R51" i="2" s="1"/>
  <c r="T51" i="2" s="1"/>
  <c r="M42" i="2"/>
  <c r="M40" i="2"/>
  <c r="M17" i="2"/>
  <c r="M21" i="2"/>
  <c r="M28" i="2"/>
  <c r="M27" i="2"/>
  <c r="M26" i="2"/>
  <c r="M33" i="2"/>
  <c r="M43" i="2"/>
  <c r="AA46" i="2"/>
  <c r="AA53" i="2" s="1"/>
  <c r="M11" i="2"/>
  <c r="M10" i="2"/>
  <c r="M19" i="2"/>
  <c r="M16" i="2"/>
  <c r="M24" i="2"/>
  <c r="M36" i="2"/>
  <c r="M35" i="2"/>
  <c r="M34" i="2"/>
  <c r="M38" i="2"/>
  <c r="M45" i="2"/>
  <c r="K77" i="2"/>
  <c r="K26" i="3" s="1"/>
  <c r="K24" i="3"/>
  <c r="S46" i="2"/>
  <c r="S53" i="2" s="1"/>
  <c r="I67" i="2"/>
  <c r="I68" i="2"/>
  <c r="P9" i="2"/>
  <c r="N42" i="2"/>
  <c r="N38" i="2"/>
  <c r="N44" i="2"/>
  <c r="N40" i="2"/>
  <c r="N34" i="2"/>
  <c r="N30" i="2"/>
  <c r="N26" i="2"/>
  <c r="N45" i="2"/>
  <c r="N43" i="2"/>
  <c r="N41" i="2"/>
  <c r="N39" i="2"/>
  <c r="N35" i="2"/>
  <c r="N31" i="2"/>
  <c r="N27" i="2"/>
  <c r="N20" i="2"/>
  <c r="N37" i="2"/>
  <c r="N29" i="2"/>
  <c r="N19" i="2"/>
  <c r="N15" i="2"/>
  <c r="N13" i="2"/>
  <c r="N11" i="2"/>
  <c r="N33" i="2"/>
  <c r="N23" i="2"/>
  <c r="N17" i="2"/>
  <c r="N14" i="2"/>
  <c r="N12" i="2"/>
  <c r="N10" i="2"/>
  <c r="N36" i="2"/>
  <c r="N32" i="2"/>
  <c r="N24" i="2"/>
  <c r="N22" i="2"/>
  <c r="N21" i="2"/>
  <c r="N28" i="2"/>
  <c r="N25" i="2"/>
  <c r="N16" i="2"/>
  <c r="N18" i="2"/>
  <c r="P14" i="2"/>
  <c r="R14" i="2" s="1"/>
  <c r="T14" i="2" s="1"/>
  <c r="W46" i="2"/>
  <c r="W53" i="2" s="1"/>
  <c r="M40" i="4"/>
  <c r="M16" i="4"/>
  <c r="M43" i="4"/>
  <c r="M35" i="4"/>
  <c r="M31" i="4"/>
  <c r="M27" i="4"/>
  <c r="M19" i="4"/>
  <c r="M11" i="4"/>
  <c r="M42" i="4"/>
  <c r="M34" i="4"/>
  <c r="M30" i="4"/>
  <c r="M26" i="4"/>
  <c r="M18" i="4"/>
  <c r="M14" i="4"/>
  <c r="M10" i="4"/>
  <c r="M41" i="4"/>
  <c r="M37" i="4"/>
  <c r="M33" i="4"/>
  <c r="M25" i="4"/>
  <c r="M21" i="4"/>
  <c r="M17" i="4"/>
  <c r="M9" i="4"/>
  <c r="M44" i="4"/>
  <c r="M36" i="4"/>
  <c r="M28" i="4"/>
  <c r="M24" i="4"/>
  <c r="M20" i="4"/>
  <c r="M12" i="4"/>
  <c r="M15" i="4"/>
  <c r="W31" i="4"/>
  <c r="W39" i="4"/>
  <c r="AA11" i="4"/>
  <c r="AA19" i="4"/>
  <c r="AA27" i="4"/>
  <c r="AA43" i="4"/>
  <c r="W9" i="4"/>
  <c r="W16" i="4"/>
  <c r="W24" i="4"/>
  <c r="W32" i="4"/>
  <c r="W40" i="4"/>
  <c r="AA12" i="4"/>
  <c r="AA20" i="4"/>
  <c r="AA31" i="4"/>
  <c r="AA52" i="4"/>
  <c r="AA48" i="4"/>
  <c r="AA42" i="4"/>
  <c r="AA38" i="4"/>
  <c r="AA34" i="4"/>
  <c r="AA30" i="4"/>
  <c r="AA26" i="4"/>
  <c r="AA22" i="4"/>
  <c r="AA18" i="4"/>
  <c r="AA14" i="4"/>
  <c r="AA10" i="4"/>
  <c r="AA51" i="4"/>
  <c r="AA45" i="4"/>
  <c r="AA41" i="4"/>
  <c r="AA37" i="4"/>
  <c r="AA33" i="4"/>
  <c r="AA29" i="4"/>
  <c r="AA25" i="4"/>
  <c r="AA21" i="4"/>
  <c r="AA17" i="4"/>
  <c r="AA13" i="4"/>
  <c r="AA9" i="4"/>
  <c r="AA50" i="4"/>
  <c r="AA44" i="4"/>
  <c r="AA40" i="4"/>
  <c r="AA36" i="4"/>
  <c r="AA32" i="4"/>
  <c r="AA28" i="4"/>
  <c r="AA15" i="4"/>
  <c r="AA23" i="4"/>
  <c r="AA35" i="4"/>
  <c r="W52" i="4"/>
  <c r="W48" i="4"/>
  <c r="W42" i="4"/>
  <c r="W38" i="4"/>
  <c r="W34" i="4"/>
  <c r="W30" i="4"/>
  <c r="W26" i="4"/>
  <c r="W22" i="4"/>
  <c r="W18" i="4"/>
  <c r="W14" i="4"/>
  <c r="W10" i="4"/>
  <c r="W51" i="4"/>
  <c r="W45" i="4"/>
  <c r="W41" i="4"/>
  <c r="W37" i="4"/>
  <c r="W33" i="4"/>
  <c r="W29" i="4"/>
  <c r="W25" i="4"/>
  <c r="W21" i="4"/>
  <c r="W17" i="4"/>
  <c r="W13" i="4"/>
  <c r="W50" i="4"/>
  <c r="W12" i="4"/>
  <c r="W20" i="4"/>
  <c r="W28" i="4"/>
  <c r="W36" i="4"/>
  <c r="W44" i="4"/>
  <c r="AA16" i="4"/>
  <c r="AA24" i="4"/>
  <c r="AA39" i="4"/>
  <c r="E79" i="4"/>
  <c r="E17" i="3" s="1"/>
  <c r="S12" i="4"/>
  <c r="S16" i="4"/>
  <c r="S20" i="4"/>
  <c r="S24" i="4"/>
  <c r="S28" i="4"/>
  <c r="S32" i="4"/>
  <c r="S36" i="4"/>
  <c r="S40" i="4"/>
  <c r="S44" i="4"/>
  <c r="S50" i="4"/>
  <c r="S9" i="4"/>
  <c r="S13" i="4"/>
  <c r="S17" i="4"/>
  <c r="S21" i="4"/>
  <c r="S25" i="4"/>
  <c r="S29" i="4"/>
  <c r="S33" i="4"/>
  <c r="S37" i="4"/>
  <c r="S41" i="4"/>
  <c r="S45" i="4"/>
  <c r="S51" i="4"/>
  <c r="P18" i="2" l="1"/>
  <c r="Z18" i="2" s="1"/>
  <c r="AB18" i="2" s="1"/>
  <c r="P49" i="2"/>
  <c r="R49" i="2" s="1"/>
  <c r="T49" i="2" s="1"/>
  <c r="P16" i="2"/>
  <c r="R16" i="2" s="1"/>
  <c r="T16" i="2" s="1"/>
  <c r="P12" i="2"/>
  <c r="Z12" i="2" s="1"/>
  <c r="AB12" i="2" s="1"/>
  <c r="P41" i="2"/>
  <c r="R41" i="2" s="1"/>
  <c r="T41" i="2" s="1"/>
  <c r="P30" i="2"/>
  <c r="Z30" i="2" s="1"/>
  <c r="AB30" i="2" s="1"/>
  <c r="P29" i="2"/>
  <c r="R29" i="2" s="1"/>
  <c r="T29" i="2" s="1"/>
  <c r="P31" i="2"/>
  <c r="Z31" i="2" s="1"/>
  <c r="AB31" i="2" s="1"/>
  <c r="P34" i="2"/>
  <c r="R34" i="2" s="1"/>
  <c r="T34" i="2" s="1"/>
  <c r="O46" i="2"/>
  <c r="O53" i="2" s="1"/>
  <c r="P17" i="2"/>
  <c r="R17" i="2" s="1"/>
  <c r="T17" i="2" s="1"/>
  <c r="P13" i="2"/>
  <c r="Z13" i="2" s="1"/>
  <c r="AB13" i="2" s="1"/>
  <c r="P10" i="2"/>
  <c r="R10" i="2" s="1"/>
  <c r="P33" i="2"/>
  <c r="R33" i="2" s="1"/>
  <c r="T33" i="2" s="1"/>
  <c r="P21" i="2"/>
  <c r="R21" i="2" s="1"/>
  <c r="T21" i="2" s="1"/>
  <c r="P36" i="2"/>
  <c r="R36" i="2" s="1"/>
  <c r="T36" i="2" s="1"/>
  <c r="P37" i="2"/>
  <c r="R37" i="2" s="1"/>
  <c r="T37" i="2" s="1"/>
  <c r="P45" i="2"/>
  <c r="R45" i="2" s="1"/>
  <c r="T45" i="2" s="1"/>
  <c r="N73" i="2" s="1"/>
  <c r="N22" i="3" s="1"/>
  <c r="P22" i="2"/>
  <c r="R22" i="2" s="1"/>
  <c r="T22" i="2" s="1"/>
  <c r="P23" i="2"/>
  <c r="V23" i="2" s="1"/>
  <c r="X23" i="2" s="1"/>
  <c r="P20" i="2"/>
  <c r="R20" i="2" s="1"/>
  <c r="T20" i="2" s="1"/>
  <c r="P26" i="2"/>
  <c r="Z26" i="2" s="1"/>
  <c r="AB26" i="2" s="1"/>
  <c r="P44" i="2"/>
  <c r="V44" i="2" s="1"/>
  <c r="X44" i="2" s="1"/>
  <c r="V51" i="2"/>
  <c r="X51" i="2" s="1"/>
  <c r="P25" i="2"/>
  <c r="R25" i="2" s="1"/>
  <c r="T25" i="2" s="1"/>
  <c r="P50" i="2"/>
  <c r="R50" i="2" s="1"/>
  <c r="T50" i="2" s="1"/>
  <c r="M32" i="4"/>
  <c r="M13" i="4"/>
  <c r="M29" i="4"/>
  <c r="M45" i="4"/>
  <c r="M22" i="4"/>
  <c r="M38" i="4"/>
  <c r="M23" i="4"/>
  <c r="M39" i="4"/>
  <c r="Z51" i="2"/>
  <c r="AB51" i="2" s="1"/>
  <c r="P15" i="2"/>
  <c r="Z15" i="2" s="1"/>
  <c r="AB15" i="2" s="1"/>
  <c r="P39" i="2"/>
  <c r="R39" i="2" s="1"/>
  <c r="T39" i="2" s="1"/>
  <c r="M46" i="2"/>
  <c r="M53" i="2" s="1"/>
  <c r="P28" i="2"/>
  <c r="R28" i="2" s="1"/>
  <c r="T28" i="2" s="1"/>
  <c r="P32" i="2"/>
  <c r="R32" i="2" s="1"/>
  <c r="T32" i="2" s="1"/>
  <c r="P11" i="2"/>
  <c r="Z11" i="2" s="1"/>
  <c r="AB11" i="2" s="1"/>
  <c r="P43" i="2"/>
  <c r="R43" i="2" s="1"/>
  <c r="T43" i="2" s="1"/>
  <c r="P42" i="2"/>
  <c r="R42" i="2" s="1"/>
  <c r="T42" i="2" s="1"/>
  <c r="Z50" i="2"/>
  <c r="AB50" i="2" s="1"/>
  <c r="P35" i="2"/>
  <c r="R35" i="2" s="1"/>
  <c r="T35" i="2" s="1"/>
  <c r="P40" i="2"/>
  <c r="R40" i="2" s="1"/>
  <c r="T40" i="2" s="1"/>
  <c r="P24" i="2"/>
  <c r="Z24" i="2" s="1"/>
  <c r="AB24" i="2" s="1"/>
  <c r="P19" i="2"/>
  <c r="R19" i="2" s="1"/>
  <c r="T19" i="2" s="1"/>
  <c r="P27" i="2"/>
  <c r="V27" i="2" s="1"/>
  <c r="X27" i="2" s="1"/>
  <c r="P38" i="2"/>
  <c r="R38" i="2" s="1"/>
  <c r="T38" i="2" s="1"/>
  <c r="R31" i="2"/>
  <c r="T31" i="2" s="1"/>
  <c r="Z14" i="2"/>
  <c r="AB14" i="2" s="1"/>
  <c r="V14" i="2"/>
  <c r="X14" i="2" s="1"/>
  <c r="R23" i="2"/>
  <c r="T23" i="2" s="1"/>
  <c r="Z23" i="2"/>
  <c r="AB23" i="2" s="1"/>
  <c r="R12" i="2"/>
  <c r="T12" i="2" s="1"/>
  <c r="V12" i="2"/>
  <c r="X12" i="2" s="1"/>
  <c r="V41" i="2"/>
  <c r="X41" i="2" s="1"/>
  <c r="R18" i="2"/>
  <c r="T18" i="2" s="1"/>
  <c r="V18" i="2"/>
  <c r="X18" i="2" s="1"/>
  <c r="R13" i="2"/>
  <c r="T13" i="2" s="1"/>
  <c r="V13" i="2"/>
  <c r="X13" i="2" s="1"/>
  <c r="Z33" i="2"/>
  <c r="AB33" i="2" s="1"/>
  <c r="V36" i="2"/>
  <c r="X36" i="2" s="1"/>
  <c r="N46" i="2"/>
  <c r="K10" i="2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T10" i="2"/>
  <c r="V16" i="2"/>
  <c r="X16" i="2" s="1"/>
  <c r="Z48" i="2"/>
  <c r="AB48" i="2" s="1"/>
  <c r="O75" i="2" s="1"/>
  <c r="O24" i="3" s="1"/>
  <c r="V10" i="2"/>
  <c r="V48" i="2"/>
  <c r="X48" i="2" s="1"/>
  <c r="O74" i="2" s="1"/>
  <c r="I77" i="4"/>
  <c r="I76" i="4"/>
  <c r="V28" i="2" l="1"/>
  <c r="X28" i="2" s="1"/>
  <c r="V30" i="2"/>
  <c r="X30" i="2" s="1"/>
  <c r="Z49" i="2"/>
  <c r="AB49" i="2" s="1"/>
  <c r="V31" i="2"/>
  <c r="X31" i="2" s="1"/>
  <c r="V33" i="2"/>
  <c r="X33" i="2" s="1"/>
  <c r="V43" i="2"/>
  <c r="X43" i="2" s="1"/>
  <c r="Z37" i="2"/>
  <c r="AB37" i="2" s="1"/>
  <c r="R30" i="2"/>
  <c r="T30" i="2" s="1"/>
  <c r="V25" i="2"/>
  <c r="X25" i="2" s="1"/>
  <c r="V26" i="2"/>
  <c r="X26" i="2" s="1"/>
  <c r="V49" i="2"/>
  <c r="X49" i="2" s="1"/>
  <c r="P46" i="2"/>
  <c r="P53" i="2" s="1"/>
  <c r="Z19" i="2"/>
  <c r="AB19" i="2" s="1"/>
  <c r="V20" i="2"/>
  <c r="X20" i="2" s="1"/>
  <c r="Z34" i="2"/>
  <c r="AB34" i="2" s="1"/>
  <c r="V34" i="2"/>
  <c r="X34" i="2" s="1"/>
  <c r="Z16" i="2"/>
  <c r="AB16" i="2" s="1"/>
  <c r="V37" i="2"/>
  <c r="X37" i="2" s="1"/>
  <c r="Z41" i="2"/>
  <c r="AB41" i="2" s="1"/>
  <c r="R44" i="2"/>
  <c r="T44" i="2" s="1"/>
  <c r="Z10" i="2"/>
  <c r="V17" i="2"/>
  <c r="X17" i="2" s="1"/>
  <c r="Z25" i="2"/>
  <c r="AB25" i="2" s="1"/>
  <c r="V11" i="2"/>
  <c r="X11" i="2" s="1"/>
  <c r="Z17" i="2"/>
  <c r="AB17" i="2" s="1"/>
  <c r="R11" i="2"/>
  <c r="T11" i="2" s="1"/>
  <c r="V21" i="2"/>
  <c r="X21" i="2" s="1"/>
  <c r="Z39" i="2"/>
  <c r="AB39" i="2" s="1"/>
  <c r="Z29" i="2"/>
  <c r="AB29" i="2" s="1"/>
  <c r="V29" i="2"/>
  <c r="X29" i="2" s="1"/>
  <c r="Z36" i="2"/>
  <c r="AB36" i="2" s="1"/>
  <c r="Z44" i="2"/>
  <c r="AB44" i="2" s="1"/>
  <c r="Z22" i="2"/>
  <c r="AB22" i="2" s="1"/>
  <c r="Z21" i="2"/>
  <c r="AB21" i="2" s="1"/>
  <c r="Z45" i="2"/>
  <c r="AB45" i="2" s="1"/>
  <c r="N75" i="2" s="1"/>
  <c r="N24" i="3" s="1"/>
  <c r="V15" i="2"/>
  <c r="X15" i="2" s="1"/>
  <c r="R26" i="2"/>
  <c r="T26" i="2" s="1"/>
  <c r="V32" i="2"/>
  <c r="X32" i="2" s="1"/>
  <c r="V45" i="2"/>
  <c r="X45" i="2" s="1"/>
  <c r="N74" i="2" s="1"/>
  <c r="N77" i="2" s="1"/>
  <c r="N26" i="3" s="1"/>
  <c r="V22" i="2"/>
  <c r="X22" i="2" s="1"/>
  <c r="Z20" i="2"/>
  <c r="AB20" i="2" s="1"/>
  <c r="R15" i="2"/>
  <c r="T15" i="2" s="1"/>
  <c r="V50" i="2"/>
  <c r="X50" i="2" s="1"/>
  <c r="I15" i="3"/>
  <c r="M77" i="4"/>
  <c r="K77" i="4"/>
  <c r="K15" i="3" s="1"/>
  <c r="I14" i="3"/>
  <c r="M76" i="4"/>
  <c r="M14" i="3" s="1"/>
  <c r="I79" i="4"/>
  <c r="I17" i="3" s="1"/>
  <c r="K76" i="4"/>
  <c r="V39" i="2"/>
  <c r="X39" i="2" s="1"/>
  <c r="Z42" i="2"/>
  <c r="AB42" i="2" s="1"/>
  <c r="Z38" i="2"/>
  <c r="AB38" i="2" s="1"/>
  <c r="Z32" i="2"/>
  <c r="AB32" i="2" s="1"/>
  <c r="Z40" i="2"/>
  <c r="AB40" i="2" s="1"/>
  <c r="V38" i="2"/>
  <c r="X38" i="2" s="1"/>
  <c r="V40" i="2"/>
  <c r="X40" i="2" s="1"/>
  <c r="Z28" i="2"/>
  <c r="AB28" i="2" s="1"/>
  <c r="V42" i="2"/>
  <c r="X42" i="2" s="1"/>
  <c r="Z43" i="2"/>
  <c r="AB43" i="2" s="1"/>
  <c r="V19" i="2"/>
  <c r="X19" i="2" s="1"/>
  <c r="Z27" i="2"/>
  <c r="AB27" i="2" s="1"/>
  <c r="Z35" i="2"/>
  <c r="AB35" i="2" s="1"/>
  <c r="R27" i="2"/>
  <c r="T27" i="2" s="1"/>
  <c r="V24" i="2"/>
  <c r="X24" i="2" s="1"/>
  <c r="V35" i="2"/>
  <c r="X35" i="2" s="1"/>
  <c r="R24" i="2"/>
  <c r="T24" i="2" s="1"/>
  <c r="O77" i="2"/>
  <c r="O26" i="3" s="1"/>
  <c r="O23" i="3"/>
  <c r="X10" i="2"/>
  <c r="AB10" i="2"/>
  <c r="AA46" i="4"/>
  <c r="AA54" i="4" s="1"/>
  <c r="D65" i="3" l="1"/>
  <c r="F65" i="3" s="1"/>
  <c r="H65" i="3" s="1"/>
  <c r="G52" i="3"/>
  <c r="F52" i="3"/>
  <c r="E52" i="3"/>
  <c r="D52" i="3"/>
  <c r="N23" i="3"/>
  <c r="M79" i="4"/>
  <c r="M17" i="3" s="1"/>
  <c r="M15" i="3"/>
  <c r="K14" i="3"/>
  <c r="K79" i="4"/>
  <c r="K17" i="3" s="1"/>
  <c r="T46" i="2"/>
  <c r="T53" i="2" s="1"/>
  <c r="R46" i="2"/>
  <c r="R53" i="2" s="1"/>
  <c r="V46" i="2"/>
  <c r="V53" i="2" s="1"/>
  <c r="Z46" i="2"/>
  <c r="Z53" i="2" s="1"/>
  <c r="AB46" i="2"/>
  <c r="AB53" i="2" s="1"/>
  <c r="X46" i="2"/>
  <c r="X53" i="2" s="1"/>
  <c r="N39" i="4"/>
  <c r="N43" i="4"/>
  <c r="N38" i="4"/>
  <c r="N22" i="4"/>
  <c r="P22" i="4" s="1"/>
  <c r="N10" i="4"/>
  <c r="N40" i="4"/>
  <c r="N44" i="4"/>
  <c r="N37" i="4"/>
  <c r="N33" i="4"/>
  <c r="N29" i="4"/>
  <c r="N25" i="4"/>
  <c r="N21" i="4"/>
  <c r="P21" i="4" s="1"/>
  <c r="N17" i="4"/>
  <c r="P17" i="4" s="1"/>
  <c r="N13" i="4"/>
  <c r="P13" i="4" s="1"/>
  <c r="N41" i="4"/>
  <c r="N45" i="4"/>
  <c r="N36" i="4"/>
  <c r="N32" i="4"/>
  <c r="N28" i="4"/>
  <c r="N24" i="4"/>
  <c r="N20" i="4"/>
  <c r="P20" i="4" s="1"/>
  <c r="N16" i="4"/>
  <c r="P16" i="4" s="1"/>
  <c r="N12" i="4"/>
  <c r="P12" i="4" s="1"/>
  <c r="N42" i="4"/>
  <c r="N35" i="4"/>
  <c r="N31" i="4"/>
  <c r="N27" i="4"/>
  <c r="N23" i="4"/>
  <c r="P23" i="4" s="1"/>
  <c r="N19" i="4"/>
  <c r="P19" i="4" s="1"/>
  <c r="N15" i="4"/>
  <c r="N11" i="4"/>
  <c r="P11" i="4" s="1"/>
  <c r="N34" i="4"/>
  <c r="N30" i="4"/>
  <c r="N26" i="4"/>
  <c r="N18" i="4"/>
  <c r="N14" i="4"/>
  <c r="P14" i="4" s="1"/>
  <c r="W46" i="4"/>
  <c r="S46" i="4"/>
  <c r="F70" i="4"/>
  <c r="F7" i="3" s="1"/>
  <c r="F69" i="4"/>
  <c r="F6" i="3" s="1"/>
  <c r="F68" i="4"/>
  <c r="F5" i="3" s="1"/>
  <c r="M46" i="4"/>
  <c r="P18" i="4"/>
  <c r="P15" i="4"/>
  <c r="P9" i="4"/>
  <c r="H46" i="4"/>
  <c r="F46" i="4"/>
  <c r="E7" i="6" s="1"/>
  <c r="E46" i="4"/>
  <c r="D46" i="4"/>
  <c r="M54" i="4" l="1"/>
  <c r="E19" i="6"/>
  <c r="J19" i="6" s="1"/>
  <c r="D66" i="3"/>
  <c r="G53" i="3"/>
  <c r="F53" i="3"/>
  <c r="D53" i="3"/>
  <c r="E53" i="3"/>
  <c r="I46" i="3"/>
  <c r="E46" i="3"/>
  <c r="G55" i="3"/>
  <c r="H46" i="3"/>
  <c r="D46" i="3"/>
  <c r="D55" i="3"/>
  <c r="G46" i="3"/>
  <c r="E55" i="3"/>
  <c r="K46" i="3"/>
  <c r="F46" i="3"/>
  <c r="F55" i="3"/>
  <c r="F66" i="3"/>
  <c r="H66" i="3" s="1"/>
  <c r="H67" i="3" s="1"/>
  <c r="F64" i="4"/>
  <c r="E47" i="4"/>
  <c r="E4" i="6" s="1"/>
  <c r="E6" i="6" s="1"/>
  <c r="E8" i="6" s="1"/>
  <c r="E24" i="6" s="1"/>
  <c r="N46" i="4"/>
  <c r="P10" i="4"/>
  <c r="W54" i="4"/>
  <c r="F71" i="4"/>
  <c r="S54" i="4"/>
  <c r="I46" i="4"/>
  <c r="J21" i="6" s="1"/>
  <c r="G46" i="4"/>
  <c r="K9" i="4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J23" i="6" s="1"/>
  <c r="F63" i="4"/>
  <c r="G63" i="4" s="1"/>
  <c r="E20" i="6" l="1"/>
  <c r="J20" i="6" s="1"/>
  <c r="J24" i="6" s="1"/>
  <c r="G69" i="4"/>
  <c r="F8" i="3"/>
  <c r="O64" i="3"/>
  <c r="O27" i="4"/>
  <c r="P27" i="4" s="1"/>
  <c r="O26" i="4"/>
  <c r="P26" i="4" s="1"/>
  <c r="P25" i="4"/>
  <c r="P24" i="4"/>
  <c r="G68" i="4"/>
  <c r="G70" i="4"/>
  <c r="O49" i="4"/>
  <c r="P49" i="4" s="1"/>
  <c r="O43" i="4"/>
  <c r="P43" i="4" s="1"/>
  <c r="O39" i="4"/>
  <c r="P39" i="4" s="1"/>
  <c r="O35" i="4"/>
  <c r="P35" i="4" s="1"/>
  <c r="O31" i="4"/>
  <c r="P31" i="4" s="1"/>
  <c r="O52" i="4"/>
  <c r="P52" i="4" s="1"/>
  <c r="O48" i="4"/>
  <c r="O42" i="4"/>
  <c r="P42" i="4" s="1"/>
  <c r="O38" i="4"/>
  <c r="P38" i="4" s="1"/>
  <c r="O34" i="4"/>
  <c r="P34" i="4" s="1"/>
  <c r="O30" i="4"/>
  <c r="P30" i="4" s="1"/>
  <c r="O51" i="4"/>
  <c r="P51" i="4" s="1"/>
  <c r="O41" i="4"/>
  <c r="P41" i="4" s="1"/>
  <c r="O37" i="4"/>
  <c r="P37" i="4" s="1"/>
  <c r="O29" i="4"/>
  <c r="P29" i="4" s="1"/>
  <c r="O50" i="4"/>
  <c r="P50" i="4" s="1"/>
  <c r="O44" i="4"/>
  <c r="P44" i="4" s="1"/>
  <c r="O40" i="4"/>
  <c r="P40" i="4" s="1"/>
  <c r="O36" i="4"/>
  <c r="P36" i="4" s="1"/>
  <c r="O32" i="4"/>
  <c r="P32" i="4" s="1"/>
  <c r="O28" i="4"/>
  <c r="O45" i="4"/>
  <c r="P45" i="4" s="1"/>
  <c r="O33" i="4"/>
  <c r="P33" i="4" s="1"/>
  <c r="T9" i="4"/>
  <c r="H68" i="4" l="1"/>
  <c r="R16" i="4" s="1"/>
  <c r="T16" i="4" s="1"/>
  <c r="G5" i="3"/>
  <c r="Z30" i="4"/>
  <c r="AB30" i="4" s="1"/>
  <c r="P48" i="4"/>
  <c r="V48" i="4" s="1"/>
  <c r="X48" i="4" s="1"/>
  <c r="O76" i="4" s="1"/>
  <c r="O14" i="3" s="1"/>
  <c r="K52" i="3" s="1"/>
  <c r="V26" i="4"/>
  <c r="X26" i="4" s="1"/>
  <c r="H69" i="4"/>
  <c r="G6" i="3"/>
  <c r="Z40" i="4"/>
  <c r="AB40" i="4" s="1"/>
  <c r="Z43" i="4"/>
  <c r="AB43" i="4" s="1"/>
  <c r="V27" i="4"/>
  <c r="X27" i="4" s="1"/>
  <c r="Z38" i="4"/>
  <c r="AB38" i="4" s="1"/>
  <c r="H70" i="4"/>
  <c r="Z33" i="4" s="1"/>
  <c r="AB33" i="4" s="1"/>
  <c r="G7" i="3"/>
  <c r="E22" i="6"/>
  <c r="R15" i="4"/>
  <c r="T15" i="4" s="1"/>
  <c r="R25" i="4"/>
  <c r="T25" i="4" s="1"/>
  <c r="Z50" i="4"/>
  <c r="AB50" i="4" s="1"/>
  <c r="Z51" i="4"/>
  <c r="AB51" i="4" s="1"/>
  <c r="Z42" i="4"/>
  <c r="AB42" i="4" s="1"/>
  <c r="Z35" i="4"/>
  <c r="AB35" i="4" s="1"/>
  <c r="R14" i="4"/>
  <c r="T14" i="4" s="1"/>
  <c r="R27" i="4"/>
  <c r="T27" i="4" s="1"/>
  <c r="R17" i="4"/>
  <c r="T17" i="4" s="1"/>
  <c r="R20" i="4"/>
  <c r="T20" i="4" s="1"/>
  <c r="R22" i="4"/>
  <c r="T22" i="4" s="1"/>
  <c r="R12" i="4"/>
  <c r="T12" i="4" s="1"/>
  <c r="Z10" i="4"/>
  <c r="AB10" i="4" s="1"/>
  <c r="I70" i="4"/>
  <c r="I7" i="3" s="1"/>
  <c r="Z12" i="4"/>
  <c r="AB12" i="4" s="1"/>
  <c r="Z13" i="4"/>
  <c r="AB13" i="4" s="1"/>
  <c r="Z16" i="4"/>
  <c r="AB16" i="4" s="1"/>
  <c r="Z21" i="4"/>
  <c r="AB21" i="4" s="1"/>
  <c r="Z23" i="4"/>
  <c r="AB23" i="4" s="1"/>
  <c r="Z20" i="4"/>
  <c r="AB20" i="4" s="1"/>
  <c r="Z11" i="4"/>
  <c r="AB11" i="4" s="1"/>
  <c r="Z27" i="4"/>
  <c r="AB27" i="4" s="1"/>
  <c r="V52" i="4"/>
  <c r="X52" i="4" s="1"/>
  <c r="R42" i="4"/>
  <c r="T42" i="4" s="1"/>
  <c r="V42" i="4"/>
  <c r="X42" i="4" s="1"/>
  <c r="V45" i="4"/>
  <c r="X45" i="4" s="1"/>
  <c r="N76" i="4" s="1"/>
  <c r="N14" i="3" s="1"/>
  <c r="R37" i="4"/>
  <c r="T37" i="4" s="1"/>
  <c r="V37" i="4"/>
  <c r="X37" i="4" s="1"/>
  <c r="V43" i="4"/>
  <c r="X43" i="4" s="1"/>
  <c r="R44" i="4"/>
  <c r="T44" i="4" s="1"/>
  <c r="V44" i="4"/>
  <c r="X44" i="4" s="1"/>
  <c r="V38" i="4"/>
  <c r="X38" i="4" s="1"/>
  <c r="R29" i="4"/>
  <c r="T29" i="4" s="1"/>
  <c r="V29" i="4"/>
  <c r="X29" i="4" s="1"/>
  <c r="V33" i="4"/>
  <c r="X33" i="4" s="1"/>
  <c r="R36" i="4"/>
  <c r="T36" i="4" s="1"/>
  <c r="V36" i="4"/>
  <c r="X36" i="4" s="1"/>
  <c r="V30" i="4"/>
  <c r="X30" i="4" s="1"/>
  <c r="R39" i="4"/>
  <c r="T39" i="4" s="1"/>
  <c r="V39" i="4"/>
  <c r="X39" i="4" s="1"/>
  <c r="V40" i="4"/>
  <c r="X40" i="4" s="1"/>
  <c r="R34" i="4"/>
  <c r="T34" i="4" s="1"/>
  <c r="V34" i="4"/>
  <c r="X34" i="4" s="1"/>
  <c r="V32" i="4"/>
  <c r="X32" i="4" s="1"/>
  <c r="R41" i="4"/>
  <c r="T41" i="4" s="1"/>
  <c r="V41" i="4"/>
  <c r="X41" i="4" s="1"/>
  <c r="V31" i="4"/>
  <c r="X31" i="4" s="1"/>
  <c r="R49" i="4"/>
  <c r="T49" i="4" s="1"/>
  <c r="V49" i="4"/>
  <c r="X49" i="4" s="1"/>
  <c r="R50" i="4"/>
  <c r="T50" i="4" s="1"/>
  <c r="V50" i="4"/>
  <c r="X50" i="4" s="1"/>
  <c r="V51" i="4"/>
  <c r="X51" i="4" s="1"/>
  <c r="R35" i="4"/>
  <c r="T35" i="4" s="1"/>
  <c r="V35" i="4"/>
  <c r="X35" i="4" s="1"/>
  <c r="P28" i="4"/>
  <c r="O46" i="4"/>
  <c r="Z41" i="4" l="1"/>
  <c r="AB41" i="4" s="1"/>
  <c r="R51" i="4"/>
  <c r="T51" i="4" s="1"/>
  <c r="Z24" i="4"/>
  <c r="AB24" i="4" s="1"/>
  <c r="Z26" i="4"/>
  <c r="AB26" i="4" s="1"/>
  <c r="Z17" i="4"/>
  <c r="AB17" i="4" s="1"/>
  <c r="Z18" i="4"/>
  <c r="AB18" i="4" s="1"/>
  <c r="Z14" i="4"/>
  <c r="AB14" i="4" s="1"/>
  <c r="R19" i="4"/>
  <c r="T19" i="4" s="1"/>
  <c r="R26" i="4"/>
  <c r="T26" i="4" s="1"/>
  <c r="R24" i="4"/>
  <c r="T24" i="4" s="1"/>
  <c r="I68" i="4"/>
  <c r="I5" i="3" s="1"/>
  <c r="R10" i="4"/>
  <c r="T10" i="4" s="1"/>
  <c r="Z31" i="4"/>
  <c r="AB31" i="4" s="1"/>
  <c r="Z37" i="4"/>
  <c r="AB37" i="4" s="1"/>
  <c r="V22" i="4"/>
  <c r="X22" i="4" s="1"/>
  <c r="H6" i="3"/>
  <c r="V17" i="4"/>
  <c r="X17" i="4" s="1"/>
  <c r="V10" i="4"/>
  <c r="X10" i="4" s="1"/>
  <c r="V23" i="4"/>
  <c r="X23" i="4" s="1"/>
  <c r="V20" i="4"/>
  <c r="X20" i="4" s="1"/>
  <c r="I69" i="4"/>
  <c r="I6" i="3" s="1"/>
  <c r="V12" i="4"/>
  <c r="X12" i="4" s="1"/>
  <c r="V18" i="4"/>
  <c r="X18" i="4" s="1"/>
  <c r="V19" i="4"/>
  <c r="X19" i="4" s="1"/>
  <c r="V25" i="4"/>
  <c r="X25" i="4" s="1"/>
  <c r="V13" i="4"/>
  <c r="X13" i="4" s="1"/>
  <c r="V14" i="4"/>
  <c r="X14" i="4" s="1"/>
  <c r="V21" i="4"/>
  <c r="X21" i="4" s="1"/>
  <c r="K69" i="4"/>
  <c r="K6" i="3" s="1"/>
  <c r="V15" i="4"/>
  <c r="X15" i="4" s="1"/>
  <c r="V11" i="4"/>
  <c r="X11" i="4" s="1"/>
  <c r="V16" i="4"/>
  <c r="X16" i="4" s="1"/>
  <c r="V24" i="4"/>
  <c r="X24" i="4" s="1"/>
  <c r="K70" i="4"/>
  <c r="K7" i="3" s="1"/>
  <c r="H7" i="3"/>
  <c r="Z52" i="4"/>
  <c r="AB52" i="4" s="1"/>
  <c r="Z45" i="4"/>
  <c r="AB45" i="4" s="1"/>
  <c r="N77" i="4" s="1"/>
  <c r="N15" i="3" s="1"/>
  <c r="Z39" i="4"/>
  <c r="AB39" i="4" s="1"/>
  <c r="Z29" i="4"/>
  <c r="AB29" i="4" s="1"/>
  <c r="K68" i="4"/>
  <c r="K5" i="3" s="1"/>
  <c r="H5" i="3"/>
  <c r="R31" i="4"/>
  <c r="T31" i="4" s="1"/>
  <c r="R32" i="4"/>
  <c r="T32" i="4" s="1"/>
  <c r="R40" i="4"/>
  <c r="T40" i="4" s="1"/>
  <c r="R30" i="4"/>
  <c r="T30" i="4" s="1"/>
  <c r="R33" i="4"/>
  <c r="T33" i="4" s="1"/>
  <c r="R38" i="4"/>
  <c r="T38" i="4" s="1"/>
  <c r="R43" i="4"/>
  <c r="T43" i="4" s="1"/>
  <c r="R45" i="4"/>
  <c r="T45" i="4" s="1"/>
  <c r="N75" i="4" s="1"/>
  <c r="N13" i="3" s="1"/>
  <c r="H51" i="3" s="1"/>
  <c r="R52" i="4"/>
  <c r="T52" i="4" s="1"/>
  <c r="Z25" i="4"/>
  <c r="AB25" i="4" s="1"/>
  <c r="Z22" i="4"/>
  <c r="AB22" i="4" s="1"/>
  <c r="Z19" i="4"/>
  <c r="AB19" i="4" s="1"/>
  <c r="Z15" i="4"/>
  <c r="AB15" i="4" s="1"/>
  <c r="R21" i="4"/>
  <c r="T21" i="4" s="1"/>
  <c r="R13" i="4"/>
  <c r="T13" i="4" s="1"/>
  <c r="R11" i="4"/>
  <c r="T11" i="4" s="1"/>
  <c r="R23" i="4"/>
  <c r="T23" i="4" s="1"/>
  <c r="Z48" i="4"/>
  <c r="AB48" i="4" s="1"/>
  <c r="O77" i="4" s="1"/>
  <c r="O15" i="3" s="1"/>
  <c r="K53" i="3" s="1"/>
  <c r="Z32" i="4"/>
  <c r="AB32" i="4" s="1"/>
  <c r="R18" i="4"/>
  <c r="T18" i="4" s="1"/>
  <c r="Z49" i="4"/>
  <c r="AB49" i="4" s="1"/>
  <c r="Z44" i="4"/>
  <c r="AB44" i="4" s="1"/>
  <c r="Z34" i="4"/>
  <c r="AB34" i="4" s="1"/>
  <c r="Z36" i="4"/>
  <c r="AB36" i="4" s="1"/>
  <c r="D71" i="3"/>
  <c r="F71" i="3" s="1"/>
  <c r="H71" i="3" s="1"/>
  <c r="D72" i="3"/>
  <c r="F72" i="3" s="1"/>
  <c r="H72" i="3" s="1"/>
  <c r="I52" i="3"/>
  <c r="H52" i="3"/>
  <c r="N79" i="4"/>
  <c r="N17" i="3" s="1"/>
  <c r="V28" i="4"/>
  <c r="X28" i="4" s="1"/>
  <c r="X46" i="4" s="1"/>
  <c r="X54" i="4" s="1"/>
  <c r="Z28" i="4"/>
  <c r="P46" i="4"/>
  <c r="P54" i="4" s="1"/>
  <c r="P52" i="5" s="1"/>
  <c r="R28" i="4"/>
  <c r="O75" i="4" l="1"/>
  <c r="O13" i="3" s="1"/>
  <c r="K51" i="3" s="1"/>
  <c r="T48" i="4"/>
  <c r="N66" i="3"/>
  <c r="N73" i="3"/>
  <c r="I66" i="3"/>
  <c r="K66" i="3" s="1"/>
  <c r="I51" i="3"/>
  <c r="N64" i="3"/>
  <c r="N71" i="3"/>
  <c r="I64" i="3"/>
  <c r="K64" i="3" s="1"/>
  <c r="D73" i="3"/>
  <c r="F73" i="3" s="1"/>
  <c r="H73" i="3" s="1"/>
  <c r="H74" i="3" s="1"/>
  <c r="H53" i="3"/>
  <c r="I53" i="3"/>
  <c r="N72" i="3"/>
  <c r="N65" i="3"/>
  <c r="I65" i="3"/>
  <c r="K65" i="3" s="1"/>
  <c r="H55" i="3"/>
  <c r="I55" i="3"/>
  <c r="V46" i="4"/>
  <c r="V54" i="4" s="1"/>
  <c r="AB28" i="4"/>
  <c r="AB46" i="4" s="1"/>
  <c r="AB54" i="4" s="1"/>
  <c r="Z46" i="4"/>
  <c r="Z54" i="4" s="1"/>
  <c r="R46" i="4"/>
  <c r="R54" i="4" s="1"/>
  <c r="T28" i="4"/>
  <c r="O54" i="4"/>
  <c r="O79" i="4" l="1"/>
  <c r="O17" i="3" s="1"/>
  <c r="K55" i="3" s="1"/>
  <c r="I73" i="3"/>
  <c r="K73" i="3" s="1"/>
  <c r="I72" i="3"/>
  <c r="K72" i="3" s="1"/>
  <c r="O71" i="3"/>
  <c r="I71" i="3"/>
  <c r="K71" i="3" s="1"/>
  <c r="T46" i="4"/>
  <c r="T54" i="4" s="1"/>
</calcChain>
</file>

<file path=xl/sharedStrings.xml><?xml version="1.0" encoding="utf-8"?>
<sst xmlns="http://schemas.openxmlformats.org/spreadsheetml/2006/main" count="639" uniqueCount="162">
  <si>
    <t>Qtr.</t>
  </si>
  <si>
    <t>Year</t>
  </si>
  <si>
    <t>DBBC</t>
  </si>
  <si>
    <t>Reserve</t>
  </si>
  <si>
    <t>Dock</t>
  </si>
  <si>
    <t>Assesmt</t>
  </si>
  <si>
    <t>Balance</t>
  </si>
  <si>
    <t>Replaced</t>
  </si>
  <si>
    <t>C</t>
  </si>
  <si>
    <t>Main</t>
  </si>
  <si>
    <t>A &amp; B</t>
  </si>
  <si>
    <t>E</t>
  </si>
  <si>
    <t>F</t>
  </si>
  <si>
    <t>I</t>
  </si>
  <si>
    <t>Service</t>
  </si>
  <si>
    <t xml:space="preserve">D </t>
  </si>
  <si>
    <t>L of C</t>
  </si>
  <si>
    <t>Draw</t>
  </si>
  <si>
    <t>1st Paymt</t>
  </si>
  <si>
    <t>2nd Paymt</t>
  </si>
  <si>
    <t>Deposit</t>
  </si>
  <si>
    <t>Finger 1/2</t>
  </si>
  <si>
    <t>DBBC Dock Replacement Project</t>
  </si>
  <si>
    <t>Project Total</t>
  </si>
  <si>
    <t>Interest</t>
  </si>
  <si>
    <t>Slip Size</t>
  </si>
  <si>
    <t>Area</t>
  </si>
  <si>
    <t>Count</t>
  </si>
  <si>
    <t>Total Area</t>
  </si>
  <si>
    <t>Fraction</t>
  </si>
  <si>
    <t>Factor</t>
  </si>
  <si>
    <t>Slip</t>
  </si>
  <si>
    <t>Payment</t>
  </si>
  <si>
    <t>Liability</t>
  </si>
  <si>
    <t>Loan</t>
  </si>
  <si>
    <t>Principle</t>
  </si>
  <si>
    <t>Balloon Payment</t>
  </si>
  <si>
    <t>Amortization Period (yrs)</t>
  </si>
  <si>
    <t>Payment Period (yrs)</t>
  </si>
  <si>
    <t>Interest Rate %</t>
  </si>
  <si>
    <t>Finger</t>
  </si>
  <si>
    <t>Repair</t>
  </si>
  <si>
    <t>Payment (monthly)</t>
  </si>
  <si>
    <t>10 Year</t>
  </si>
  <si>
    <t>Total</t>
  </si>
  <si>
    <t>Expense</t>
  </si>
  <si>
    <t>Repaymnt</t>
  </si>
  <si>
    <t>Payment (quarterly)</t>
  </si>
  <si>
    <t>Paymt</t>
  </si>
  <si>
    <t>Dues</t>
  </si>
  <si>
    <t>Qtyly</t>
  </si>
  <si>
    <t xml:space="preserve">   40' Slip</t>
  </si>
  <si>
    <t>Operate</t>
  </si>
  <si>
    <t>60' Slip</t>
  </si>
  <si>
    <t>88' Slip</t>
  </si>
  <si>
    <t>Assesmnt</t>
  </si>
  <si>
    <t>Operations</t>
  </si>
  <si>
    <t>Qtr Income</t>
  </si>
  <si>
    <t>Qtrly</t>
  </si>
  <si>
    <t>to FDS</t>
  </si>
  <si>
    <t>Pier</t>
  </si>
  <si>
    <t>General</t>
  </si>
  <si>
    <t>2015 Total</t>
  </si>
  <si>
    <t>Total Dock</t>
  </si>
  <si>
    <t>2016 Dock</t>
  </si>
  <si>
    <t>Reserve +</t>
  </si>
  <si>
    <t>2020-2024</t>
  </si>
  <si>
    <t>Dues+Loan</t>
  </si>
  <si>
    <t>E &amp; F</t>
  </si>
  <si>
    <t>Plan A</t>
  </si>
  <si>
    <t>Plan B</t>
  </si>
  <si>
    <t>Summary of Plan A and Plan B</t>
  </si>
  <si>
    <t>w Interest</t>
  </si>
  <si>
    <t>Assessment</t>
  </si>
  <si>
    <t>Special</t>
  </si>
  <si>
    <t>Annual</t>
  </si>
  <si>
    <t xml:space="preserve">Funded by </t>
  </si>
  <si>
    <t>Dues Analysis</t>
  </si>
  <si>
    <t>2019-2024</t>
  </si>
  <si>
    <t>2025-2028</t>
  </si>
  <si>
    <t>2016-2018</t>
  </si>
  <si>
    <t>2016-2019</t>
  </si>
  <si>
    <t>2025-2029</t>
  </si>
  <si>
    <t>Only</t>
  </si>
  <si>
    <t>Note:  Plan A and Plan B have a different sequence of dock replacement.  Otherwise they are the same.</t>
  </si>
  <si>
    <t>If Slip owners abandon their slips</t>
  </si>
  <si>
    <t>Abandoned</t>
  </si>
  <si>
    <t>Taxes</t>
  </si>
  <si>
    <t>Slips</t>
  </si>
  <si>
    <t>Cost</t>
  </si>
  <si>
    <t>Per Owner</t>
  </si>
  <si>
    <t>Cost/Owner</t>
  </si>
  <si>
    <t>Selling</t>
  </si>
  <si>
    <t>Price</t>
  </si>
  <si>
    <t>ROI</t>
  </si>
  <si>
    <t>Return</t>
  </si>
  <si>
    <t>per Owner</t>
  </si>
  <si>
    <t>Sell Slips</t>
  </si>
  <si>
    <t>in 4 Years</t>
  </si>
  <si>
    <t>in 8 Years</t>
  </si>
  <si>
    <t>Avg. Annual</t>
  </si>
  <si>
    <t>Assessment Only</t>
  </si>
  <si>
    <t>2016-2017</t>
  </si>
  <si>
    <t>2017-2024</t>
  </si>
  <si>
    <t>2025-2027</t>
  </si>
  <si>
    <t>Plan C</t>
  </si>
  <si>
    <t>Annual Dues Increase to Pay for Dock Replacement</t>
  </si>
  <si>
    <t>Quarterly Dues Increase to Pay for Dock Replacement</t>
  </si>
  <si>
    <t>Total Quarterly Dues</t>
  </si>
  <si>
    <t>Quarter</t>
  </si>
  <si>
    <t>Increase</t>
  </si>
  <si>
    <t>2021-2024</t>
  </si>
  <si>
    <t>Additional Payments if Funded by Special Dues Increase</t>
  </si>
  <si>
    <t xml:space="preserve">Total Quarterly Dues Payments </t>
  </si>
  <si>
    <t>2020-1</t>
  </si>
  <si>
    <t>Construction</t>
  </si>
  <si>
    <t>Funded by</t>
  </si>
  <si>
    <t>Dues Plus</t>
  </si>
  <si>
    <t>Dues Total</t>
  </si>
  <si>
    <t>(Special</t>
  </si>
  <si>
    <t>Assessment)</t>
  </si>
  <si>
    <t>Dues Paid</t>
  </si>
  <si>
    <t>by Owner</t>
  </si>
  <si>
    <t>to DBBC</t>
  </si>
  <si>
    <t>per  Slip</t>
  </si>
  <si>
    <t>Dues Qtr</t>
  </si>
  <si>
    <t>Main Pier Replacement</t>
  </si>
  <si>
    <t>Finger Pier Refurbisnment</t>
  </si>
  <si>
    <t>Finger Pier Replacement</t>
  </si>
  <si>
    <t>Dock Reserve</t>
  </si>
  <si>
    <t>Quarterly Dues</t>
  </si>
  <si>
    <t>Temporary Dues Increase</t>
  </si>
  <si>
    <t>Dock Reserve Balance</t>
  </si>
  <si>
    <t>Dues Increase</t>
  </si>
  <si>
    <t xml:space="preserve">Project Funding Summary </t>
  </si>
  <si>
    <t>(Dues Increase Only)</t>
  </si>
  <si>
    <t>(Construction Loan)</t>
  </si>
  <si>
    <t>Loan Draw Interest</t>
  </si>
  <si>
    <t>Reserve in the bank</t>
  </si>
  <si>
    <t>Percentage or qtrly dues to dock reserve</t>
  </si>
  <si>
    <t>Interest on loan draw during project</t>
  </si>
  <si>
    <t>DBBC Quarterly Dues Analysis - Dues Increase (Assessment) vs Construction Loan</t>
  </si>
  <si>
    <t>Note: the legal term for the "assessment" alternative is "temporary dues increase"</t>
  </si>
  <si>
    <t>January 1 temporary dues increase to dock reserve</t>
  </si>
  <si>
    <t>Dock Replacement Project Cost Summary</t>
  </si>
  <si>
    <t>Cost of</t>
  </si>
  <si>
    <t>Total Cost of Loan vs Dues</t>
  </si>
  <si>
    <t>Loan vs Dues</t>
  </si>
  <si>
    <t xml:space="preserve">DBBC Dock Replacement Project Cost </t>
  </si>
  <si>
    <t>Ending reserve balance in the bank</t>
  </si>
  <si>
    <t>DBBC Project Funding Analysis - Temporary Dues Increase (Assessment) vs Construction Loan</t>
  </si>
  <si>
    <t>(Assessment)</t>
  </si>
  <si>
    <t>Dues or Construction Loan</t>
  </si>
  <si>
    <t>C Dock</t>
  </si>
  <si>
    <t>Main Pier</t>
  </si>
  <si>
    <t>A &amp; B &amp; D</t>
  </si>
  <si>
    <t>I &amp; E</t>
  </si>
  <si>
    <t>2016-2024</t>
  </si>
  <si>
    <t>Dues Paid Difference</t>
  </si>
  <si>
    <t>Interest on Const. Draw</t>
  </si>
  <si>
    <t>Plan A Dock Replacement Schedule</t>
  </si>
  <si>
    <t>Finger Piers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</si>
</sst>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  <numFmt numFmtId="166" formatCode="0.0000"/>
    <numFmt numFmtId="167" formatCode="_(* #,##0.0000_);_(* \(#,##0.00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164" fontId="0" fillId="0" borderId="0" xfId="1" applyNumberFormat="1" applyFont="1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0" fillId="0" borderId="1" xfId="1" applyNumberFormat="1" applyFont="1" applyBorder="1"/>
    <xf numFmtId="14" fontId="0" fillId="0" borderId="0" xfId="0" applyNumberFormat="1" applyAlignment="1">
      <alignment horizontal="center"/>
    </xf>
    <xf numFmtId="164" fontId="0" fillId="0" borderId="0" xfId="1" applyNumberFormat="1" applyFont="1" applyBorder="1"/>
    <xf numFmtId="43" fontId="0" fillId="0" borderId="0" xfId="0" applyNumberFormat="1"/>
    <xf numFmtId="164" fontId="0" fillId="0" borderId="0" xfId="0" applyNumberFormat="1"/>
    <xf numFmtId="164" fontId="0" fillId="0" borderId="1" xfId="0" applyNumberFormat="1" applyBorder="1"/>
    <xf numFmtId="164" fontId="2" fillId="0" borderId="2" xfId="1" applyNumberFormat="1" applyFont="1" applyBorder="1"/>
    <xf numFmtId="164" fontId="0" fillId="0" borderId="3" xfId="1" applyNumberFormat="1" applyFont="1" applyBorder="1"/>
    <xf numFmtId="164" fontId="2" fillId="0" borderId="5" xfId="1" applyNumberFormat="1" applyFont="1" applyBorder="1"/>
    <xf numFmtId="0" fontId="0" fillId="0" borderId="0" xfId="0" applyBorder="1"/>
    <xf numFmtId="164" fontId="0" fillId="0" borderId="6" xfId="1" applyNumberFormat="1" applyFont="1" applyBorder="1"/>
    <xf numFmtId="164" fontId="2" fillId="0" borderId="7" xfId="1" applyNumberFormat="1" applyFont="1" applyBorder="1"/>
    <xf numFmtId="43" fontId="2" fillId="0" borderId="6" xfId="1" applyFont="1" applyBorder="1"/>
    <xf numFmtId="164" fontId="2" fillId="0" borderId="0" xfId="1" applyNumberFormat="1" applyFont="1" applyBorder="1" applyAlignment="1">
      <alignment horizontal="center" vertical="top"/>
    </xf>
    <xf numFmtId="164" fontId="0" fillId="0" borderId="0" xfId="0" applyNumberFormat="1" applyBorder="1"/>
    <xf numFmtId="0" fontId="0" fillId="0" borderId="1" xfId="0" applyBorder="1"/>
    <xf numFmtId="10" fontId="0" fillId="0" borderId="0" xfId="2" applyNumberFormat="1" applyFont="1" applyFill="1"/>
    <xf numFmtId="164" fontId="0" fillId="0" borderId="0" xfId="1" applyNumberFormat="1" applyFont="1" applyFill="1" applyBorder="1"/>
    <xf numFmtId="10" fontId="0" fillId="0" borderId="0" xfId="2" applyNumberFormat="1" applyFont="1" applyFill="1" applyBorder="1"/>
    <xf numFmtId="43" fontId="2" fillId="0" borderId="0" xfId="1" applyFont="1" applyFill="1" applyBorder="1"/>
    <xf numFmtId="43" fontId="0" fillId="0" borderId="0" xfId="1" applyFont="1" applyFill="1" applyBorder="1"/>
    <xf numFmtId="164" fontId="0" fillId="0" borderId="8" xfId="1" applyNumberFormat="1" applyFont="1" applyBorder="1"/>
    <xf numFmtId="164" fontId="2" fillId="0" borderId="2" xfId="1" applyNumberFormat="1" applyFont="1" applyBorder="1" applyAlignment="1">
      <alignment horizontal="center" vertical="top"/>
    </xf>
    <xf numFmtId="164" fontId="2" fillId="0" borderId="3" xfId="1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164" fontId="2" fillId="0" borderId="5" xfId="1" applyNumberFormat="1" applyFont="1" applyBorder="1" applyAlignment="1">
      <alignment horizontal="center" vertical="top"/>
    </xf>
    <xf numFmtId="164" fontId="0" fillId="0" borderId="5" xfId="1" applyNumberFormat="1" applyFont="1" applyBorder="1"/>
    <xf numFmtId="166" fontId="0" fillId="0" borderId="0" xfId="0" applyNumberFormat="1" applyBorder="1"/>
    <xf numFmtId="164" fontId="0" fillId="0" borderId="7" xfId="1" applyNumberFormat="1" applyFont="1" applyBorder="1"/>
    <xf numFmtId="165" fontId="0" fillId="0" borderId="0" xfId="0" applyNumberFormat="1" applyBorder="1"/>
    <xf numFmtId="164" fontId="2" fillId="0" borderId="4" xfId="1" applyNumberFormat="1" applyFont="1" applyBorder="1" applyAlignment="1">
      <alignment horizontal="center"/>
    </xf>
    <xf numFmtId="2" fontId="0" fillId="0" borderId="0" xfId="0" applyNumberFormat="1" applyFont="1" applyFill="1" applyBorder="1"/>
    <xf numFmtId="164" fontId="0" fillId="0" borderId="0" xfId="1" applyNumberFormat="1" applyFont="1" applyFill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/>
    <xf numFmtId="2" fontId="0" fillId="0" borderId="0" xfId="0" applyNumberFormat="1" applyFill="1" applyBorder="1"/>
    <xf numFmtId="1" fontId="0" fillId="0" borderId="0" xfId="0" applyNumberFormat="1"/>
    <xf numFmtId="1" fontId="0" fillId="0" borderId="1" xfId="0" applyNumberFormat="1" applyBorder="1"/>
    <xf numFmtId="164" fontId="0" fillId="2" borderId="6" xfId="1" applyNumberFormat="1" applyFont="1" applyFill="1" applyBorder="1"/>
    <xf numFmtId="10" fontId="0" fillId="2" borderId="6" xfId="2" applyNumberFormat="1" applyFont="1" applyFill="1" applyBorder="1"/>
    <xf numFmtId="164" fontId="0" fillId="2" borderId="4" xfId="1" applyNumberFormat="1" applyFont="1" applyFill="1" applyBorder="1"/>
    <xf numFmtId="1" fontId="2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/>
    <xf numFmtId="164" fontId="0" fillId="0" borderId="0" xfId="1" applyNumberFormat="1" applyFont="1" applyBorder="1" applyAlignment="1"/>
    <xf numFmtId="43" fontId="1" fillId="0" borderId="0" xfId="1" applyNumberFormat="1" applyFont="1" applyFill="1" applyBorder="1" applyAlignment="1">
      <alignment horizontal="center" vertical="top"/>
    </xf>
    <xf numFmtId="43" fontId="1" fillId="0" borderId="0" xfId="1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1" fillId="0" borderId="0" xfId="1" applyNumberFormat="1" applyFont="1"/>
    <xf numFmtId="164" fontId="2" fillId="0" borderId="0" xfId="1" applyNumberFormat="1" applyFont="1"/>
    <xf numFmtId="10" fontId="2" fillId="0" borderId="0" xfId="0" applyNumberFormat="1" applyFont="1"/>
    <xf numFmtId="0" fontId="2" fillId="0" borderId="7" xfId="0" applyFont="1" applyBorder="1" applyAlignment="1">
      <alignment horizontal="center"/>
    </xf>
    <xf numFmtId="164" fontId="0" fillId="3" borderId="0" xfId="0" applyNumberFormat="1" applyFill="1" applyBorder="1"/>
    <xf numFmtId="164" fontId="0" fillId="3" borderId="0" xfId="1" applyNumberFormat="1" applyFont="1" applyFill="1" applyBorder="1"/>
    <xf numFmtId="164" fontId="0" fillId="3" borderId="6" xfId="1" applyNumberFormat="1" applyFont="1" applyFill="1" applyBorder="1"/>
    <xf numFmtId="0" fontId="2" fillId="3" borderId="3" xfId="0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2" fillId="3" borderId="0" xfId="1" applyNumberFormat="1" applyFont="1" applyFill="1" applyBorder="1" applyAlignment="1">
      <alignment horizontal="center"/>
    </xf>
    <xf numFmtId="164" fontId="2" fillId="3" borderId="6" xfId="1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0" fillId="3" borderId="0" xfId="0" applyNumberFormat="1" applyFill="1"/>
    <xf numFmtId="164" fontId="0" fillId="3" borderId="1" xfId="0" applyNumberFormat="1" applyFill="1" applyBorder="1"/>
    <xf numFmtId="164" fontId="0" fillId="3" borderId="0" xfId="1" applyNumberFormat="1" applyFont="1" applyFill="1"/>
    <xf numFmtId="0" fontId="0" fillId="3" borderId="0" xfId="0" applyFill="1"/>
    <xf numFmtId="1" fontId="0" fillId="3" borderId="0" xfId="0" applyNumberFormat="1" applyFill="1"/>
    <xf numFmtId="1" fontId="0" fillId="3" borderId="1" xfId="0" applyNumberFormat="1" applyFill="1" applyBorder="1"/>
    <xf numFmtId="164" fontId="0" fillId="0" borderId="5" xfId="1" applyNumberFormat="1" applyFont="1" applyBorder="1" applyAlignment="1"/>
    <xf numFmtId="164" fontId="2" fillId="3" borderId="0" xfId="1" applyNumberFormat="1" applyFont="1" applyFill="1"/>
    <xf numFmtId="9" fontId="0" fillId="0" borderId="0" xfId="2" applyFont="1" applyBorder="1"/>
    <xf numFmtId="43" fontId="0" fillId="0" borderId="0" xfId="1" applyNumberFormat="1" applyFont="1" applyBorder="1"/>
    <xf numFmtId="9" fontId="0" fillId="0" borderId="0" xfId="2" applyFont="1" applyFill="1" applyBorder="1"/>
    <xf numFmtId="9" fontId="2" fillId="0" borderId="0" xfId="2" applyFont="1" applyBorder="1"/>
    <xf numFmtId="0" fontId="2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/>
    <xf numFmtId="0" fontId="0" fillId="0" borderId="6" xfId="0" applyBorder="1"/>
    <xf numFmtId="0" fontId="3" fillId="0" borderId="0" xfId="0" applyFont="1"/>
    <xf numFmtId="0" fontId="2" fillId="3" borderId="3" xfId="1" applyNumberFormat="1" applyFont="1" applyFill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Fill="1"/>
    <xf numFmtId="1" fontId="2" fillId="0" borderId="3" xfId="0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" fontId="0" fillId="0" borderId="0" xfId="1" applyNumberFormat="1" applyFont="1"/>
    <xf numFmtId="164" fontId="0" fillId="0" borderId="6" xfId="1" applyNumberFormat="1" applyFont="1" applyFill="1" applyBorder="1"/>
    <xf numFmtId="1" fontId="2" fillId="0" borderId="3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0" fillId="0" borderId="1" xfId="1" applyNumberFormat="1" applyFont="1" applyFill="1" applyBorder="1"/>
    <xf numFmtId="164" fontId="0" fillId="0" borderId="8" xfId="1" applyNumberFormat="1" applyFont="1" applyFill="1" applyBorder="1"/>
    <xf numFmtId="164" fontId="2" fillId="0" borderId="6" xfId="1" applyNumberFormat="1" applyFont="1" applyBorder="1" applyAlignment="1">
      <alignment horizontal="center" vertical="top"/>
    </xf>
    <xf numFmtId="0" fontId="0" fillId="0" borderId="8" xfId="0" applyBorder="1"/>
    <xf numFmtId="164" fontId="0" fillId="0" borderId="0" xfId="1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3" borderId="9" xfId="0" applyFont="1" applyFill="1" applyBorder="1" applyAlignment="1">
      <alignment horizontal="center"/>
    </xf>
    <xf numFmtId="0" fontId="0" fillId="0" borderId="5" xfId="0" applyBorder="1"/>
    <xf numFmtId="0" fontId="0" fillId="0" borderId="7" xfId="0" applyBorder="1"/>
    <xf numFmtId="167" fontId="0" fillId="0" borderId="0" xfId="1" applyNumberFormat="1" applyFont="1" applyBorder="1"/>
    <xf numFmtId="167" fontId="0" fillId="0" borderId="1" xfId="1" applyNumberFormat="1" applyFont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7" fontId="0" fillId="4" borderId="1" xfId="1" applyNumberFormat="1" applyFont="1" applyFill="1" applyBorder="1"/>
    <xf numFmtId="167" fontId="0" fillId="4" borderId="8" xfId="1" applyNumberFormat="1" applyFont="1" applyFill="1" applyBorder="1"/>
    <xf numFmtId="164" fontId="2" fillId="4" borderId="3" xfId="1" applyNumberFormat="1" applyFont="1" applyFill="1" applyBorder="1" applyAlignment="1">
      <alignment horizontal="center"/>
    </xf>
    <xf numFmtId="0" fontId="0" fillId="4" borderId="3" xfId="0" applyFill="1" applyBorder="1"/>
    <xf numFmtId="164" fontId="2" fillId="4" borderId="4" xfId="1" applyNumberFormat="1" applyFont="1" applyFill="1" applyBorder="1" applyAlignment="1">
      <alignment horizontal="center"/>
    </xf>
    <xf numFmtId="164" fontId="2" fillId="4" borderId="0" xfId="1" applyNumberFormat="1" applyFont="1" applyFill="1" applyBorder="1" applyAlignment="1">
      <alignment horizontal="center" vertical="top"/>
    </xf>
    <xf numFmtId="0" fontId="0" fillId="4" borderId="0" xfId="0" applyFill="1" applyBorder="1"/>
    <xf numFmtId="164" fontId="2" fillId="4" borderId="6" xfId="1" applyNumberFormat="1" applyFont="1" applyFill="1" applyBorder="1" applyAlignment="1">
      <alignment horizontal="center"/>
    </xf>
    <xf numFmtId="164" fontId="0" fillId="4" borderId="0" xfId="1" applyNumberFormat="1" applyFont="1" applyFill="1" applyBorder="1"/>
    <xf numFmtId="43" fontId="0" fillId="4" borderId="6" xfId="1" applyNumberFormat="1" applyFont="1" applyFill="1" applyBorder="1"/>
    <xf numFmtId="0" fontId="0" fillId="4" borderId="1" xfId="0" applyFill="1" applyBorder="1"/>
    <xf numFmtId="164" fontId="0" fillId="4" borderId="8" xfId="1" applyNumberFormat="1" applyFont="1" applyFill="1" applyBorder="1"/>
    <xf numFmtId="1" fontId="2" fillId="4" borderId="3" xfId="0" applyNumberFormat="1" applyFont="1" applyFill="1" applyBorder="1" applyAlignment="1">
      <alignment horizontal="center"/>
    </xf>
    <xf numFmtId="0" fontId="2" fillId="4" borderId="4" xfId="0" applyFont="1" applyFill="1" applyBorder="1"/>
    <xf numFmtId="164" fontId="2" fillId="4" borderId="0" xfId="1" applyNumberFormat="1" applyFont="1" applyFill="1" applyBorder="1" applyAlignment="1">
      <alignment horizontal="center"/>
    </xf>
    <xf numFmtId="164" fontId="0" fillId="4" borderId="6" xfId="0" applyNumberFormat="1" applyFill="1" applyBorder="1"/>
    <xf numFmtId="164" fontId="0" fillId="4" borderId="6" xfId="1" applyNumberFormat="1" applyFont="1" applyFill="1" applyBorder="1"/>
    <xf numFmtId="0" fontId="0" fillId="0" borderId="0" xfId="0" applyFill="1" applyBorder="1"/>
    <xf numFmtId="0" fontId="0" fillId="0" borderId="6" xfId="0" applyFill="1" applyBorder="1"/>
    <xf numFmtId="14" fontId="0" fillId="0" borderId="0" xfId="0" applyNumberFormat="1"/>
    <xf numFmtId="164" fontId="2" fillId="0" borderId="3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/>
    <xf numFmtId="0" fontId="4" fillId="2" borderId="1" xfId="0" applyFont="1" applyFill="1" applyBorder="1"/>
    <xf numFmtId="164" fontId="0" fillId="2" borderId="1" xfId="1" applyNumberFormat="1" applyFont="1" applyFill="1" applyBorder="1"/>
    <xf numFmtId="0" fontId="4" fillId="2" borderId="0" xfId="0" applyFont="1" applyFill="1" applyBorder="1"/>
    <xf numFmtId="164" fontId="0" fillId="2" borderId="0" xfId="1" applyNumberFormat="1" applyFont="1" applyFill="1" applyBorder="1"/>
    <xf numFmtId="164" fontId="2" fillId="0" borderId="3" xfId="1" applyNumberFormat="1" applyFont="1" applyFill="1" applyBorder="1" applyAlignment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43" fontId="0" fillId="0" borderId="0" xfId="1" applyFont="1" applyBorder="1"/>
    <xf numFmtId="43" fontId="0" fillId="0" borderId="0" xfId="0" applyNumberFormat="1" applyBorder="1"/>
    <xf numFmtId="9" fontId="0" fillId="0" borderId="6" xfId="2" applyFont="1" applyBorder="1"/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64" fontId="2" fillId="0" borderId="10" xfId="1" applyNumberFormat="1" applyFont="1" applyBorder="1" applyAlignment="1">
      <alignment horizontal="center"/>
    </xf>
    <xf numFmtId="43" fontId="0" fillId="0" borderId="0" xfId="1" applyNumberFormat="1" applyFont="1" applyFill="1" applyBorder="1"/>
    <xf numFmtId="43" fontId="0" fillId="0" borderId="1" xfId="1" applyNumberFormat="1" applyFont="1" applyFill="1" applyBorder="1"/>
    <xf numFmtId="0" fontId="2" fillId="0" borderId="0" xfId="0" applyFont="1" applyBorder="1" applyAlignment="1">
      <alignment horizontal="left"/>
    </xf>
    <xf numFmtId="164" fontId="0" fillId="0" borderId="6" xfId="0" applyNumberFormat="1" applyBorder="1"/>
    <xf numFmtId="164" fontId="0" fillId="0" borderId="8" xfId="0" applyNumberFormat="1" applyBorder="1"/>
    <xf numFmtId="164" fontId="2" fillId="0" borderId="4" xfId="1" applyNumberFormat="1" applyFont="1" applyFill="1" applyBorder="1" applyAlignment="1">
      <alignment horizontal="center"/>
    </xf>
    <xf numFmtId="164" fontId="2" fillId="0" borderId="0" xfId="1" applyNumberFormat="1" applyFont="1" applyFill="1" applyBorder="1"/>
    <xf numFmtId="0" fontId="2" fillId="0" borderId="0" xfId="0" applyFont="1" applyAlignment="1">
      <alignment horizontal="right"/>
    </xf>
    <xf numFmtId="164" fontId="0" fillId="0" borderId="11" xfId="1" applyNumberFormat="1" applyFont="1" applyBorder="1"/>
    <xf numFmtId="0" fontId="0" fillId="0" borderId="4" xfId="0" applyBorder="1"/>
    <xf numFmtId="0" fontId="0" fillId="0" borderId="2" xfId="0" applyBorder="1"/>
    <xf numFmtId="164" fontId="0" fillId="0" borderId="4" xfId="1" applyNumberFormat="1" applyFont="1" applyBorder="1"/>
    <xf numFmtId="164" fontId="0" fillId="0" borderId="12" xfId="1" applyNumberFormat="1" applyFont="1" applyBorder="1"/>
    <xf numFmtId="0" fontId="0" fillId="0" borderId="0" xfId="0" quotePrefix="1" applyBorder="1" applyAlignment="1">
      <alignment horizontal="right"/>
    </xf>
    <xf numFmtId="164" fontId="1" fillId="0" borderId="0" xfId="1" applyNumberFormat="1" applyFont="1"/>
    <xf numFmtId="164" fontId="1" fillId="0" borderId="0" xfId="1" applyNumberFormat="1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164" fontId="2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9"/>
  <sheetViews>
    <sheetView topLeftCell="A38" workbookViewId="0">
      <selection activeCell="T59" sqref="T59"/>
    </sheetView>
  </sheetViews>
  <sheetFormatPr defaultRowHeight="15" x14ac:dyDescent="0.25"/>
  <cols>
    <col min="1" max="1" width="5" customWidth="1"/>
    <col min="2" max="2" width="4.5703125" style="2" customWidth="1"/>
    <col min="3" max="3" width="10.140625" style="2" customWidth="1"/>
    <col min="4" max="5" width="10.5703125" style="3" customWidth="1"/>
    <col min="6" max="6" width="10.28515625" customWidth="1"/>
    <col min="7" max="7" width="10.5703125" customWidth="1"/>
    <col min="8" max="8" width="11" style="3" customWidth="1"/>
    <col min="9" max="9" width="11.5703125" customWidth="1"/>
    <col min="10" max="10" width="1.5703125" customWidth="1"/>
    <col min="11" max="11" width="10.5703125" style="3" customWidth="1"/>
    <col min="12" max="12" width="1.5703125" customWidth="1"/>
    <col min="13" max="13" width="11" style="3" customWidth="1"/>
    <col min="14" max="14" width="10.5703125" style="3" customWidth="1"/>
    <col min="15" max="15" width="11.85546875" customWidth="1"/>
    <col min="16" max="16" width="10.7109375" customWidth="1"/>
    <col min="17" max="17" width="1.42578125" customWidth="1"/>
    <col min="18" max="18" width="8.42578125" customWidth="1"/>
    <col min="19" max="19" width="8.85546875" customWidth="1"/>
    <col min="20" max="20" width="9.5703125" customWidth="1"/>
    <col min="21" max="21" width="1.140625" customWidth="1"/>
    <col min="22" max="22" width="8" customWidth="1"/>
    <col min="23" max="23" width="8.42578125" customWidth="1"/>
    <col min="25" max="25" width="1" customWidth="1"/>
    <col min="26" max="26" width="8.5703125" customWidth="1"/>
    <col min="27" max="28" width="8.7109375" customWidth="1"/>
  </cols>
  <sheetData>
    <row r="1" spans="1:28" x14ac:dyDescent="0.25">
      <c r="C1" s="4" t="s">
        <v>22</v>
      </c>
    </row>
    <row r="2" spans="1:28" x14ac:dyDescent="0.25">
      <c r="A2" s="49" t="s">
        <v>69</v>
      </c>
      <c r="D2" s="7">
        <v>42468</v>
      </c>
    </row>
    <row r="3" spans="1:28" x14ac:dyDescent="0.25">
      <c r="R3" s="4" t="s">
        <v>51</v>
      </c>
      <c r="S3" s="4" t="s">
        <v>51</v>
      </c>
      <c r="T3" s="4" t="s">
        <v>51</v>
      </c>
      <c r="V3" s="4" t="s">
        <v>53</v>
      </c>
      <c r="W3" s="4" t="s">
        <v>53</v>
      </c>
      <c r="X3" s="4" t="s">
        <v>53</v>
      </c>
      <c r="Z3" s="4" t="s">
        <v>54</v>
      </c>
      <c r="AA3" s="4" t="s">
        <v>54</v>
      </c>
      <c r="AB3" s="4" t="s">
        <v>54</v>
      </c>
    </row>
    <row r="4" spans="1:28" s="4" customFormat="1" x14ac:dyDescent="0.25">
      <c r="D4" s="5"/>
      <c r="E4" s="5"/>
      <c r="F4" s="4" t="s">
        <v>40</v>
      </c>
      <c r="G4" s="4" t="s">
        <v>44</v>
      </c>
      <c r="H4" s="5"/>
      <c r="I4" s="4" t="s">
        <v>16</v>
      </c>
      <c r="K4" s="5" t="s">
        <v>2</v>
      </c>
      <c r="M4" s="5" t="s">
        <v>49</v>
      </c>
      <c r="N4" s="5" t="s">
        <v>4</v>
      </c>
      <c r="P4" s="4" t="s">
        <v>4</v>
      </c>
      <c r="S4" s="4" t="s">
        <v>61</v>
      </c>
      <c r="T4" s="4" t="s">
        <v>50</v>
      </c>
      <c r="W4" s="4" t="s">
        <v>61</v>
      </c>
      <c r="X4" s="4" t="s">
        <v>50</v>
      </c>
      <c r="AA4" s="4" t="s">
        <v>61</v>
      </c>
      <c r="AB4" s="4" t="s">
        <v>50</v>
      </c>
    </row>
    <row r="5" spans="1:28" s="4" customFormat="1" x14ac:dyDescent="0.25">
      <c r="C5" s="4" t="s">
        <v>4</v>
      </c>
      <c r="D5" s="5" t="s">
        <v>18</v>
      </c>
      <c r="E5" s="5" t="s">
        <v>19</v>
      </c>
      <c r="F5" s="4" t="s">
        <v>60</v>
      </c>
      <c r="G5" s="4" t="s">
        <v>4</v>
      </c>
      <c r="H5" s="5" t="s">
        <v>16</v>
      </c>
      <c r="I5" s="5" t="s">
        <v>24</v>
      </c>
      <c r="J5" s="5"/>
      <c r="K5" s="5" t="s">
        <v>3</v>
      </c>
      <c r="M5" s="5" t="s">
        <v>3</v>
      </c>
      <c r="N5" s="5" t="s">
        <v>5</v>
      </c>
      <c r="O5" s="4" t="s">
        <v>34</v>
      </c>
      <c r="P5" s="4" t="s">
        <v>48</v>
      </c>
      <c r="S5" s="4" t="s">
        <v>65</v>
      </c>
      <c r="T5" s="4" t="s">
        <v>48</v>
      </c>
      <c r="W5" s="4" t="s">
        <v>65</v>
      </c>
      <c r="X5" s="4" t="s">
        <v>48</v>
      </c>
      <c r="AA5" s="4" t="s">
        <v>65</v>
      </c>
      <c r="AB5" s="4" t="s">
        <v>48</v>
      </c>
    </row>
    <row r="6" spans="1:28" s="4" customFormat="1" x14ac:dyDescent="0.25">
      <c r="A6" s="4" t="s">
        <v>1</v>
      </c>
      <c r="B6" s="4" t="s">
        <v>0</v>
      </c>
      <c r="C6" s="4" t="s">
        <v>7</v>
      </c>
      <c r="D6" s="4" t="s">
        <v>59</v>
      </c>
      <c r="E6" s="4" t="s">
        <v>59</v>
      </c>
      <c r="F6" s="5" t="s">
        <v>41</v>
      </c>
      <c r="G6" s="4" t="s">
        <v>45</v>
      </c>
      <c r="H6" s="5" t="s">
        <v>17</v>
      </c>
      <c r="I6" s="4" t="s">
        <v>32</v>
      </c>
      <c r="K6" s="5" t="s">
        <v>6</v>
      </c>
      <c r="M6" s="5" t="s">
        <v>20</v>
      </c>
      <c r="N6" s="4" t="s">
        <v>20</v>
      </c>
      <c r="O6" s="4" t="s">
        <v>46</v>
      </c>
      <c r="P6" s="4" t="s">
        <v>44</v>
      </c>
      <c r="R6" s="4" t="s">
        <v>4</v>
      </c>
      <c r="S6" s="4" t="s">
        <v>52</v>
      </c>
      <c r="T6" s="4" t="s">
        <v>44</v>
      </c>
      <c r="V6" s="4" t="s">
        <v>4</v>
      </c>
      <c r="W6" s="4" t="s">
        <v>52</v>
      </c>
      <c r="X6" s="4" t="s">
        <v>44</v>
      </c>
      <c r="Z6" s="4" t="s">
        <v>4</v>
      </c>
      <c r="AA6" s="4" t="s">
        <v>52</v>
      </c>
      <c r="AB6" s="4" t="s">
        <v>44</v>
      </c>
    </row>
    <row r="7" spans="1:28" x14ac:dyDescent="0.25">
      <c r="F7" s="3"/>
      <c r="I7" s="22"/>
      <c r="J7" s="22"/>
    </row>
    <row r="8" spans="1:28" x14ac:dyDescent="0.25">
      <c r="F8" s="3"/>
      <c r="I8" s="3"/>
      <c r="J8" s="3"/>
      <c r="K8" s="3">
        <v>471380</v>
      </c>
      <c r="S8" s="9"/>
    </row>
    <row r="9" spans="1:28" x14ac:dyDescent="0.25">
      <c r="A9">
        <v>2015</v>
      </c>
      <c r="B9" s="2">
        <v>4</v>
      </c>
      <c r="D9" s="3">
        <v>65000</v>
      </c>
      <c r="F9" s="3">
        <v>20000</v>
      </c>
      <c r="G9" s="10">
        <f>SUM(D9:F9)</f>
        <v>85000</v>
      </c>
      <c r="I9" s="3"/>
      <c r="J9" s="3"/>
      <c r="K9" s="3">
        <f>K8-G9-I9+H9+SUM(M9:N9)</f>
        <v>413248.24</v>
      </c>
      <c r="M9" s="3">
        <f>$F$79</f>
        <v>26868.240000000002</v>
      </c>
      <c r="P9" s="10">
        <f>SUM(M9:O9)</f>
        <v>26868.240000000002</v>
      </c>
      <c r="Q9" s="10"/>
      <c r="R9" s="10">
        <f>F75</f>
        <v>83.720000000000013</v>
      </c>
      <c r="S9" s="10">
        <f>$H$75+$E$75</f>
        <v>215.28</v>
      </c>
      <c r="T9" s="70">
        <f>SUM(R9:S9)</f>
        <v>299</v>
      </c>
      <c r="V9" s="42">
        <f>F76</f>
        <v>147.56</v>
      </c>
      <c r="W9" s="10">
        <f>$H$76+$E$76</f>
        <v>379.44</v>
      </c>
      <c r="X9" s="74">
        <v>527</v>
      </c>
      <c r="Z9" s="42">
        <f>F77</f>
        <v>183.96</v>
      </c>
      <c r="AA9" s="10">
        <f>$H$77+$E$77</f>
        <v>473.04</v>
      </c>
      <c r="AB9" s="73">
        <v>657</v>
      </c>
    </row>
    <row r="10" spans="1:28" x14ac:dyDescent="0.25">
      <c r="A10" s="1">
        <v>2016</v>
      </c>
      <c r="B10" s="2">
        <v>1</v>
      </c>
      <c r="F10" s="3"/>
      <c r="G10" s="10">
        <f t="shared" ref="G10:G41" si="0">SUM(D10:F10)</f>
        <v>0</v>
      </c>
      <c r="K10" s="3">
        <f t="shared" ref="K10:K39" si="1">K9-G10-I10+H10+SUM(M10:N10)</f>
        <v>472225.89176470588</v>
      </c>
      <c r="M10" s="3">
        <f t="shared" ref="M10:M45" si="2">$F$79</f>
        <v>26868.240000000002</v>
      </c>
      <c r="N10" s="3">
        <f t="shared" ref="N10:N45" si="3">$I$79</f>
        <v>32109.411764705881</v>
      </c>
      <c r="P10" s="10">
        <f t="shared" ref="P10:P45" si="4">SUM(M10:O10)</f>
        <v>58977.651764705879</v>
      </c>
      <c r="Q10" s="10"/>
      <c r="R10" s="10">
        <f t="shared" ref="R10:R45" si="5">$H$68*P10</f>
        <v>183.67714798666324</v>
      </c>
      <c r="S10" s="10">
        <f>$H$75+$E$75</f>
        <v>215.28</v>
      </c>
      <c r="T10" s="70">
        <f t="shared" ref="T10:T45" si="6">SUM(R10:S10)</f>
        <v>398.95714798666324</v>
      </c>
      <c r="V10" s="42">
        <f t="shared" ref="V10:V45" si="7">$H$69*P10</f>
        <v>324.1361435058763</v>
      </c>
      <c r="W10" s="10">
        <f t="shared" ref="W10:W45" si="8">$H$76+$E$76</f>
        <v>379.44</v>
      </c>
      <c r="X10" s="74">
        <f t="shared" ref="X10:X45" si="9">SUM(V10:W10)</f>
        <v>703.5761435058763</v>
      </c>
      <c r="Z10" s="42">
        <f t="shared" ref="Z10:Z45" si="10">$H$70*P10</f>
        <v>404.08972557065908</v>
      </c>
      <c r="AA10" s="10">
        <f t="shared" ref="AA10:AA45" si="11">$H$77+$E$77</f>
        <v>473.04</v>
      </c>
      <c r="AB10" s="74">
        <f>SUM(Z10:AA10)</f>
        <v>877.12972557065905</v>
      </c>
    </row>
    <row r="11" spans="1:28" x14ac:dyDescent="0.25">
      <c r="A11" s="1">
        <v>2016</v>
      </c>
      <c r="B11" s="2">
        <v>2</v>
      </c>
      <c r="C11" s="2" t="s">
        <v>8</v>
      </c>
      <c r="E11" s="3">
        <v>319000</v>
      </c>
      <c r="F11" s="3"/>
      <c r="G11" s="10">
        <f t="shared" si="0"/>
        <v>319000</v>
      </c>
      <c r="H11" s="3">
        <v>100000</v>
      </c>
      <c r="K11" s="3">
        <f>K10-G11-I11+H11+SUM(M11:N11)</f>
        <v>312203.54352941178</v>
      </c>
      <c r="M11" s="3">
        <f t="shared" si="2"/>
        <v>26868.240000000002</v>
      </c>
      <c r="N11" s="3">
        <f t="shared" si="3"/>
        <v>32109.411764705881</v>
      </c>
      <c r="P11" s="10">
        <f t="shared" si="4"/>
        <v>58977.651764705879</v>
      </c>
      <c r="Q11" s="10"/>
      <c r="R11" s="10">
        <f t="shared" si="5"/>
        <v>183.67714798666324</v>
      </c>
      <c r="S11" s="10">
        <f t="shared" ref="S11:S45" si="12">$H$75+$E$75</f>
        <v>215.28</v>
      </c>
      <c r="T11" s="70">
        <f t="shared" si="6"/>
        <v>398.95714798666324</v>
      </c>
      <c r="V11" s="42">
        <f t="shared" si="7"/>
        <v>324.1361435058763</v>
      </c>
      <c r="W11" s="10">
        <f t="shared" si="8"/>
        <v>379.44</v>
      </c>
      <c r="X11" s="74">
        <f t="shared" si="9"/>
        <v>703.5761435058763</v>
      </c>
      <c r="Z11" s="42">
        <f t="shared" si="10"/>
        <v>404.08972557065908</v>
      </c>
      <c r="AA11" s="10">
        <f t="shared" si="11"/>
        <v>473.04</v>
      </c>
      <c r="AB11" s="74">
        <f t="shared" ref="AB11:AB45" si="13">SUM(Z11:AA11)</f>
        <v>877.12972557065905</v>
      </c>
    </row>
    <row r="12" spans="1:28" x14ac:dyDescent="0.25">
      <c r="A12" s="1">
        <v>2016</v>
      </c>
      <c r="B12" s="2">
        <v>3</v>
      </c>
      <c r="F12" s="3"/>
      <c r="G12" s="10">
        <f t="shared" si="0"/>
        <v>0</v>
      </c>
      <c r="K12" s="3">
        <f>K11-G12-I12+H12+SUM(M12:N12)</f>
        <v>371181.19529411767</v>
      </c>
      <c r="M12" s="3">
        <f t="shared" si="2"/>
        <v>26868.240000000002</v>
      </c>
      <c r="N12" s="3">
        <f t="shared" si="3"/>
        <v>32109.411764705881</v>
      </c>
      <c r="P12" s="10">
        <f t="shared" si="4"/>
        <v>58977.651764705879</v>
      </c>
      <c r="Q12" s="10"/>
      <c r="R12" s="10">
        <f t="shared" si="5"/>
        <v>183.67714798666324</v>
      </c>
      <c r="S12" s="10">
        <f t="shared" si="12"/>
        <v>215.28</v>
      </c>
      <c r="T12" s="70">
        <f t="shared" si="6"/>
        <v>398.95714798666324</v>
      </c>
      <c r="V12" s="42">
        <f t="shared" si="7"/>
        <v>324.1361435058763</v>
      </c>
      <c r="W12" s="10">
        <f t="shared" si="8"/>
        <v>379.44</v>
      </c>
      <c r="X12" s="74">
        <f t="shared" si="9"/>
        <v>703.5761435058763</v>
      </c>
      <c r="Z12" s="42">
        <f t="shared" si="10"/>
        <v>404.08972557065908</v>
      </c>
      <c r="AA12" s="10">
        <f t="shared" si="11"/>
        <v>473.04</v>
      </c>
      <c r="AB12" s="74">
        <f t="shared" si="13"/>
        <v>877.12972557065905</v>
      </c>
    </row>
    <row r="13" spans="1:28" x14ac:dyDescent="0.25">
      <c r="A13" s="1">
        <v>2016</v>
      </c>
      <c r="B13" s="2">
        <v>4</v>
      </c>
      <c r="D13" s="3">
        <v>108000</v>
      </c>
      <c r="F13" s="3">
        <v>25000</v>
      </c>
      <c r="G13" s="10">
        <f t="shared" si="0"/>
        <v>133000</v>
      </c>
      <c r="K13" s="3">
        <f t="shared" si="1"/>
        <v>297158.84705882357</v>
      </c>
      <c r="M13" s="3">
        <f t="shared" si="2"/>
        <v>26868.240000000002</v>
      </c>
      <c r="N13" s="3">
        <f t="shared" si="3"/>
        <v>32109.411764705881</v>
      </c>
      <c r="P13" s="10">
        <f t="shared" si="4"/>
        <v>58977.651764705879</v>
      </c>
      <c r="Q13" s="10"/>
      <c r="R13" s="10">
        <f t="shared" si="5"/>
        <v>183.67714798666324</v>
      </c>
      <c r="S13" s="10">
        <f t="shared" si="12"/>
        <v>215.28</v>
      </c>
      <c r="T13" s="70">
        <f t="shared" si="6"/>
        <v>398.95714798666324</v>
      </c>
      <c r="V13" s="42">
        <f t="shared" si="7"/>
        <v>324.1361435058763</v>
      </c>
      <c r="W13" s="10">
        <f t="shared" si="8"/>
        <v>379.44</v>
      </c>
      <c r="X13" s="74">
        <f t="shared" si="9"/>
        <v>703.5761435058763</v>
      </c>
      <c r="Z13" s="42">
        <f t="shared" si="10"/>
        <v>404.08972557065908</v>
      </c>
      <c r="AA13" s="10">
        <f t="shared" si="11"/>
        <v>473.04</v>
      </c>
      <c r="AB13" s="74">
        <f t="shared" si="13"/>
        <v>877.12972557065905</v>
      </c>
    </row>
    <row r="14" spans="1:28" x14ac:dyDescent="0.25">
      <c r="A14">
        <v>2017</v>
      </c>
      <c r="B14" s="2">
        <v>1</v>
      </c>
      <c r="F14" s="3"/>
      <c r="G14" s="10">
        <f t="shared" si="0"/>
        <v>0</v>
      </c>
      <c r="K14" s="3">
        <f t="shared" si="1"/>
        <v>356136.49882352946</v>
      </c>
      <c r="M14" s="3">
        <f t="shared" si="2"/>
        <v>26868.240000000002</v>
      </c>
      <c r="N14" s="3">
        <f t="shared" si="3"/>
        <v>32109.411764705881</v>
      </c>
      <c r="P14" s="10">
        <f t="shared" si="4"/>
        <v>58977.651764705879</v>
      </c>
      <c r="Q14" s="10"/>
      <c r="R14" s="10">
        <f t="shared" si="5"/>
        <v>183.67714798666324</v>
      </c>
      <c r="S14" s="10">
        <f t="shared" si="12"/>
        <v>215.28</v>
      </c>
      <c r="T14" s="70">
        <f t="shared" si="6"/>
        <v>398.95714798666324</v>
      </c>
      <c r="V14" s="42">
        <f t="shared" si="7"/>
        <v>324.1361435058763</v>
      </c>
      <c r="W14" s="10">
        <f t="shared" si="8"/>
        <v>379.44</v>
      </c>
      <c r="X14" s="74">
        <f t="shared" si="9"/>
        <v>703.5761435058763</v>
      </c>
      <c r="Z14" s="42">
        <f t="shared" si="10"/>
        <v>404.08972557065908</v>
      </c>
      <c r="AA14" s="10">
        <f t="shared" si="11"/>
        <v>473.04</v>
      </c>
      <c r="AB14" s="74">
        <f t="shared" si="13"/>
        <v>877.12972557065905</v>
      </c>
    </row>
    <row r="15" spans="1:28" x14ac:dyDescent="0.25">
      <c r="A15">
        <v>2017</v>
      </c>
      <c r="B15" s="2">
        <v>2</v>
      </c>
      <c r="C15" s="2" t="s">
        <v>9</v>
      </c>
      <c r="D15" s="3">
        <v>10000</v>
      </c>
      <c r="E15" s="3">
        <v>428000</v>
      </c>
      <c r="F15" s="3"/>
      <c r="G15" s="10">
        <f t="shared" si="0"/>
        <v>438000</v>
      </c>
      <c r="H15" s="3">
        <v>130000</v>
      </c>
      <c r="K15" s="3">
        <f t="shared" si="1"/>
        <v>107114.15058823534</v>
      </c>
      <c r="M15" s="3">
        <f t="shared" si="2"/>
        <v>26868.240000000002</v>
      </c>
      <c r="N15" s="3">
        <f t="shared" si="3"/>
        <v>32109.411764705881</v>
      </c>
      <c r="P15" s="10">
        <f t="shared" si="4"/>
        <v>58977.651764705879</v>
      </c>
      <c r="Q15" s="10"/>
      <c r="R15" s="10">
        <f t="shared" si="5"/>
        <v>183.67714798666324</v>
      </c>
      <c r="S15" s="10">
        <f t="shared" si="12"/>
        <v>215.28</v>
      </c>
      <c r="T15" s="70">
        <f t="shared" si="6"/>
        <v>398.95714798666324</v>
      </c>
      <c r="V15" s="42">
        <f t="shared" si="7"/>
        <v>324.1361435058763</v>
      </c>
      <c r="W15" s="10">
        <f t="shared" si="8"/>
        <v>379.44</v>
      </c>
      <c r="X15" s="74">
        <f t="shared" si="9"/>
        <v>703.5761435058763</v>
      </c>
      <c r="Z15" s="42">
        <f t="shared" si="10"/>
        <v>404.08972557065908</v>
      </c>
      <c r="AA15" s="10">
        <f t="shared" si="11"/>
        <v>473.04</v>
      </c>
      <c r="AB15" s="74">
        <f t="shared" si="13"/>
        <v>877.12972557065905</v>
      </c>
    </row>
    <row r="16" spans="1:28" x14ac:dyDescent="0.25">
      <c r="A16">
        <v>2017</v>
      </c>
      <c r="B16" s="2">
        <v>3</v>
      </c>
      <c r="F16" s="3"/>
      <c r="G16" s="10">
        <f t="shared" si="0"/>
        <v>0</v>
      </c>
      <c r="I16" s="10">
        <f>$F$59/4*H15</f>
        <v>1625</v>
      </c>
      <c r="J16" s="9"/>
      <c r="K16" s="3">
        <f t="shared" si="1"/>
        <v>164466.80235294122</v>
      </c>
      <c r="M16" s="3">
        <f t="shared" si="2"/>
        <v>26868.240000000002</v>
      </c>
      <c r="N16" s="3">
        <f t="shared" si="3"/>
        <v>32109.411764705881</v>
      </c>
      <c r="P16" s="10">
        <f t="shared" si="4"/>
        <v>58977.651764705879</v>
      </c>
      <c r="Q16" s="10"/>
      <c r="R16" s="10">
        <f t="shared" si="5"/>
        <v>183.67714798666324</v>
      </c>
      <c r="S16" s="10">
        <f t="shared" si="12"/>
        <v>215.28</v>
      </c>
      <c r="T16" s="70">
        <f t="shared" si="6"/>
        <v>398.95714798666324</v>
      </c>
      <c r="V16" s="42">
        <f t="shared" si="7"/>
        <v>324.1361435058763</v>
      </c>
      <c r="W16" s="10">
        <f t="shared" si="8"/>
        <v>379.44</v>
      </c>
      <c r="X16" s="74">
        <f t="shared" si="9"/>
        <v>703.5761435058763</v>
      </c>
      <c r="Z16" s="42">
        <f t="shared" si="10"/>
        <v>404.08972557065908</v>
      </c>
      <c r="AA16" s="10">
        <f t="shared" si="11"/>
        <v>473.04</v>
      </c>
      <c r="AB16" s="74">
        <f t="shared" si="13"/>
        <v>877.12972557065905</v>
      </c>
    </row>
    <row r="17" spans="1:28" x14ac:dyDescent="0.25">
      <c r="A17">
        <v>2017</v>
      </c>
      <c r="B17" s="2">
        <v>4</v>
      </c>
      <c r="C17" s="2" t="s">
        <v>14</v>
      </c>
      <c r="D17" s="3">
        <v>136000</v>
      </c>
      <c r="E17" s="3">
        <v>40000</v>
      </c>
      <c r="F17" s="3">
        <v>25000</v>
      </c>
      <c r="G17" s="10">
        <f t="shared" si="0"/>
        <v>201000</v>
      </c>
      <c r="H17" s="3">
        <v>100000</v>
      </c>
      <c r="I17" s="10">
        <f>SUM(H14:H17)*$F$59/4</f>
        <v>2875</v>
      </c>
      <c r="J17" s="9"/>
      <c r="K17" s="3">
        <f t="shared" si="1"/>
        <v>119569.4541176471</v>
      </c>
      <c r="M17" s="3">
        <f t="shared" si="2"/>
        <v>26868.240000000002</v>
      </c>
      <c r="N17" s="3">
        <f t="shared" si="3"/>
        <v>32109.411764705881</v>
      </c>
      <c r="P17" s="10">
        <f t="shared" si="4"/>
        <v>58977.651764705879</v>
      </c>
      <c r="Q17" s="10"/>
      <c r="R17" s="10">
        <f t="shared" si="5"/>
        <v>183.67714798666324</v>
      </c>
      <c r="S17" s="10">
        <f t="shared" si="12"/>
        <v>215.28</v>
      </c>
      <c r="T17" s="70">
        <f t="shared" si="6"/>
        <v>398.95714798666324</v>
      </c>
      <c r="V17" s="42">
        <f t="shared" si="7"/>
        <v>324.1361435058763</v>
      </c>
      <c r="W17" s="10">
        <f t="shared" si="8"/>
        <v>379.44</v>
      </c>
      <c r="X17" s="74">
        <f t="shared" si="9"/>
        <v>703.5761435058763</v>
      </c>
      <c r="Z17" s="42">
        <f t="shared" si="10"/>
        <v>404.08972557065908</v>
      </c>
      <c r="AA17" s="10">
        <f t="shared" si="11"/>
        <v>473.04</v>
      </c>
      <c r="AB17" s="74">
        <f t="shared" si="13"/>
        <v>877.12972557065905</v>
      </c>
    </row>
    <row r="18" spans="1:28" x14ac:dyDescent="0.25">
      <c r="A18">
        <v>2018</v>
      </c>
      <c r="B18" s="2">
        <v>1</v>
      </c>
      <c r="F18" s="3"/>
      <c r="G18" s="10">
        <f t="shared" si="0"/>
        <v>0</v>
      </c>
      <c r="I18" s="10">
        <f>SUM(H15:H18)*$F$59/4</f>
        <v>2875</v>
      </c>
      <c r="J18" s="9"/>
      <c r="K18" s="3">
        <f t="shared" si="1"/>
        <v>175672.10588235297</v>
      </c>
      <c r="M18" s="3">
        <f t="shared" si="2"/>
        <v>26868.240000000002</v>
      </c>
      <c r="N18" s="3">
        <f t="shared" si="3"/>
        <v>32109.411764705881</v>
      </c>
      <c r="P18" s="10">
        <f t="shared" si="4"/>
        <v>58977.651764705879</v>
      </c>
      <c r="Q18" s="10"/>
      <c r="R18" s="10">
        <f t="shared" si="5"/>
        <v>183.67714798666324</v>
      </c>
      <c r="S18" s="10">
        <f t="shared" si="12"/>
        <v>215.28</v>
      </c>
      <c r="T18" s="70">
        <f t="shared" si="6"/>
        <v>398.95714798666324</v>
      </c>
      <c r="V18" s="42">
        <f t="shared" si="7"/>
        <v>324.1361435058763</v>
      </c>
      <c r="W18" s="10">
        <f t="shared" si="8"/>
        <v>379.44</v>
      </c>
      <c r="X18" s="74">
        <f t="shared" si="9"/>
        <v>703.5761435058763</v>
      </c>
      <c r="Z18" s="42">
        <f t="shared" si="10"/>
        <v>404.08972557065908</v>
      </c>
      <c r="AA18" s="10">
        <f t="shared" si="11"/>
        <v>473.04</v>
      </c>
      <c r="AB18" s="74">
        <f t="shared" si="13"/>
        <v>877.12972557065905</v>
      </c>
    </row>
    <row r="19" spans="1:28" x14ac:dyDescent="0.25">
      <c r="A19">
        <v>2018</v>
      </c>
      <c r="B19" s="2">
        <v>2</v>
      </c>
      <c r="C19" s="2" t="s">
        <v>10</v>
      </c>
      <c r="D19" s="3">
        <v>77000</v>
      </c>
      <c r="E19" s="3">
        <v>544000</v>
      </c>
      <c r="F19" s="3"/>
      <c r="G19" s="10">
        <f t="shared" si="0"/>
        <v>621000</v>
      </c>
      <c r="H19" s="3">
        <v>500000</v>
      </c>
      <c r="I19" s="10">
        <f>SUM(H15:H19)*$F$59/4</f>
        <v>9125</v>
      </c>
      <c r="J19" s="9"/>
      <c r="K19" s="3">
        <f t="shared" si="1"/>
        <v>104524.75764705885</v>
      </c>
      <c r="M19" s="3">
        <f t="shared" si="2"/>
        <v>26868.240000000002</v>
      </c>
      <c r="N19" s="3">
        <f t="shared" si="3"/>
        <v>32109.411764705881</v>
      </c>
      <c r="P19" s="10">
        <f t="shared" si="4"/>
        <v>58977.651764705879</v>
      </c>
      <c r="Q19" s="10"/>
      <c r="R19" s="10">
        <f t="shared" si="5"/>
        <v>183.67714798666324</v>
      </c>
      <c r="S19" s="10">
        <f t="shared" si="12"/>
        <v>215.28</v>
      </c>
      <c r="T19" s="70">
        <f t="shared" si="6"/>
        <v>398.95714798666324</v>
      </c>
      <c r="V19" s="42">
        <f t="shared" si="7"/>
        <v>324.1361435058763</v>
      </c>
      <c r="W19" s="10">
        <f t="shared" si="8"/>
        <v>379.44</v>
      </c>
      <c r="X19" s="74">
        <f t="shared" si="9"/>
        <v>703.5761435058763</v>
      </c>
      <c r="Z19" s="42">
        <f t="shared" si="10"/>
        <v>404.08972557065908</v>
      </c>
      <c r="AA19" s="10">
        <f t="shared" si="11"/>
        <v>473.04</v>
      </c>
      <c r="AB19" s="74">
        <f t="shared" si="13"/>
        <v>877.12972557065905</v>
      </c>
    </row>
    <row r="20" spans="1:28" x14ac:dyDescent="0.25">
      <c r="A20">
        <v>2018</v>
      </c>
      <c r="B20" s="2">
        <v>3</v>
      </c>
      <c r="F20" s="3"/>
      <c r="G20" s="10">
        <f t="shared" si="0"/>
        <v>0</v>
      </c>
      <c r="I20" s="10">
        <f>SUM(H15:H20)*$F$59/4</f>
        <v>9125</v>
      </c>
      <c r="J20" s="9"/>
      <c r="K20" s="3">
        <f t="shared" si="1"/>
        <v>154377.40941176473</v>
      </c>
      <c r="M20" s="3">
        <f t="shared" si="2"/>
        <v>26868.240000000002</v>
      </c>
      <c r="N20" s="3">
        <f t="shared" si="3"/>
        <v>32109.411764705881</v>
      </c>
      <c r="P20" s="10">
        <f t="shared" si="4"/>
        <v>58977.651764705879</v>
      </c>
      <c r="Q20" s="10"/>
      <c r="R20" s="10">
        <f t="shared" si="5"/>
        <v>183.67714798666324</v>
      </c>
      <c r="S20" s="10">
        <f t="shared" si="12"/>
        <v>215.28</v>
      </c>
      <c r="T20" s="70">
        <f t="shared" si="6"/>
        <v>398.95714798666324</v>
      </c>
      <c r="V20" s="42">
        <f t="shared" si="7"/>
        <v>324.1361435058763</v>
      </c>
      <c r="W20" s="10">
        <f t="shared" si="8"/>
        <v>379.44</v>
      </c>
      <c r="X20" s="74">
        <f t="shared" si="9"/>
        <v>703.5761435058763</v>
      </c>
      <c r="Z20" s="42">
        <f t="shared" si="10"/>
        <v>404.08972557065908</v>
      </c>
      <c r="AA20" s="10">
        <f t="shared" si="11"/>
        <v>473.04</v>
      </c>
      <c r="AB20" s="74">
        <f t="shared" si="13"/>
        <v>877.12972557065905</v>
      </c>
    </row>
    <row r="21" spans="1:28" x14ac:dyDescent="0.25">
      <c r="A21">
        <v>2018</v>
      </c>
      <c r="B21" s="2">
        <v>4</v>
      </c>
      <c r="C21" s="2" t="s">
        <v>15</v>
      </c>
      <c r="D21" s="3">
        <v>90000</v>
      </c>
      <c r="E21" s="3">
        <v>307000</v>
      </c>
      <c r="F21" s="3">
        <v>25000</v>
      </c>
      <c r="G21" s="10">
        <f t="shared" si="0"/>
        <v>422000</v>
      </c>
      <c r="H21" s="3">
        <v>320000</v>
      </c>
      <c r="I21" s="10">
        <f>SUM(H15:H21)*$F$59/4</f>
        <v>13125</v>
      </c>
      <c r="J21" s="9"/>
      <c r="K21" s="3">
        <f t="shared" si="1"/>
        <v>98230.061176470583</v>
      </c>
      <c r="M21" s="3">
        <f t="shared" si="2"/>
        <v>26868.240000000002</v>
      </c>
      <c r="N21" s="3">
        <f t="shared" si="3"/>
        <v>32109.411764705881</v>
      </c>
      <c r="P21" s="10">
        <f t="shared" si="4"/>
        <v>58977.651764705879</v>
      </c>
      <c r="Q21" s="10"/>
      <c r="R21" s="10">
        <f t="shared" si="5"/>
        <v>183.67714798666324</v>
      </c>
      <c r="S21" s="10">
        <f t="shared" si="12"/>
        <v>215.28</v>
      </c>
      <c r="T21" s="70">
        <f t="shared" si="6"/>
        <v>398.95714798666324</v>
      </c>
      <c r="V21" s="42">
        <f t="shared" si="7"/>
        <v>324.1361435058763</v>
      </c>
      <c r="W21" s="10">
        <f t="shared" si="8"/>
        <v>379.44</v>
      </c>
      <c r="X21" s="74">
        <f t="shared" si="9"/>
        <v>703.5761435058763</v>
      </c>
      <c r="Z21" s="42">
        <f t="shared" si="10"/>
        <v>404.08972557065908</v>
      </c>
      <c r="AA21" s="10">
        <f t="shared" si="11"/>
        <v>473.04</v>
      </c>
      <c r="AB21" s="74">
        <f t="shared" si="13"/>
        <v>877.12972557065905</v>
      </c>
    </row>
    <row r="22" spans="1:28" x14ac:dyDescent="0.25">
      <c r="A22">
        <v>2019</v>
      </c>
      <c r="B22" s="2">
        <v>1</v>
      </c>
      <c r="F22" s="3"/>
      <c r="G22" s="10">
        <f t="shared" si="0"/>
        <v>0</v>
      </c>
      <c r="I22" s="10">
        <f>SUM(H15:H22)*$F$59/4</f>
        <v>13125</v>
      </c>
      <c r="J22" s="9"/>
      <c r="K22" s="3">
        <f t="shared" si="1"/>
        <v>144082.71294117646</v>
      </c>
      <c r="M22" s="3">
        <f t="shared" si="2"/>
        <v>26868.240000000002</v>
      </c>
      <c r="N22" s="3">
        <f t="shared" si="3"/>
        <v>32109.411764705881</v>
      </c>
      <c r="P22" s="10">
        <f t="shared" si="4"/>
        <v>58977.651764705879</v>
      </c>
      <c r="Q22" s="10"/>
      <c r="R22" s="10">
        <f t="shared" si="5"/>
        <v>183.67714798666324</v>
      </c>
      <c r="S22" s="10">
        <f t="shared" si="12"/>
        <v>215.28</v>
      </c>
      <c r="T22" s="70">
        <f t="shared" si="6"/>
        <v>398.95714798666324</v>
      </c>
      <c r="V22" s="42">
        <f t="shared" si="7"/>
        <v>324.1361435058763</v>
      </c>
      <c r="W22" s="10">
        <f t="shared" si="8"/>
        <v>379.44</v>
      </c>
      <c r="X22" s="74">
        <f t="shared" si="9"/>
        <v>703.5761435058763</v>
      </c>
      <c r="Z22" s="42">
        <f t="shared" si="10"/>
        <v>404.08972557065908</v>
      </c>
      <c r="AA22" s="10">
        <f t="shared" si="11"/>
        <v>473.04</v>
      </c>
      <c r="AB22" s="74">
        <f t="shared" si="13"/>
        <v>877.12972557065905</v>
      </c>
    </row>
    <row r="23" spans="1:28" x14ac:dyDescent="0.25">
      <c r="A23">
        <v>2019</v>
      </c>
      <c r="B23" s="2">
        <v>2</v>
      </c>
      <c r="C23" s="2" t="s">
        <v>13</v>
      </c>
      <c r="D23" s="3">
        <v>74000</v>
      </c>
      <c r="E23" s="3">
        <v>366000</v>
      </c>
      <c r="F23" s="3"/>
      <c r="G23" s="10">
        <f t="shared" si="0"/>
        <v>440000</v>
      </c>
      <c r="H23" s="3">
        <v>350000</v>
      </c>
      <c r="I23" s="10">
        <f>SUM(H15:H23)*$F$59/4</f>
        <v>17500</v>
      </c>
      <c r="J23" s="9"/>
      <c r="K23" s="3">
        <f t="shared" si="1"/>
        <v>95560.36470588237</v>
      </c>
      <c r="M23" s="3">
        <f t="shared" si="2"/>
        <v>26868.240000000002</v>
      </c>
      <c r="N23" s="3">
        <f t="shared" si="3"/>
        <v>32109.411764705881</v>
      </c>
      <c r="P23" s="10">
        <f t="shared" si="4"/>
        <v>58977.651764705879</v>
      </c>
      <c r="Q23" s="10"/>
      <c r="R23" s="10">
        <f t="shared" si="5"/>
        <v>183.67714798666324</v>
      </c>
      <c r="S23" s="10">
        <f t="shared" si="12"/>
        <v>215.28</v>
      </c>
      <c r="T23" s="70">
        <f t="shared" si="6"/>
        <v>398.95714798666324</v>
      </c>
      <c r="V23" s="42">
        <f t="shared" si="7"/>
        <v>324.1361435058763</v>
      </c>
      <c r="W23" s="10">
        <f t="shared" si="8"/>
        <v>379.44</v>
      </c>
      <c r="X23" s="74">
        <f t="shared" si="9"/>
        <v>703.5761435058763</v>
      </c>
      <c r="Z23" s="42">
        <f t="shared" si="10"/>
        <v>404.08972557065908</v>
      </c>
      <c r="AA23" s="10">
        <f t="shared" si="11"/>
        <v>473.04</v>
      </c>
      <c r="AB23" s="74">
        <f t="shared" si="13"/>
        <v>877.12972557065905</v>
      </c>
    </row>
    <row r="24" spans="1:28" x14ac:dyDescent="0.25">
      <c r="A24">
        <v>2019</v>
      </c>
      <c r="B24" s="2">
        <v>3</v>
      </c>
      <c r="F24" s="3"/>
      <c r="G24" s="10">
        <f t="shared" si="0"/>
        <v>0</v>
      </c>
      <c r="I24" s="10">
        <f>SUM(H15:H24)*$F$59/4</f>
        <v>17500</v>
      </c>
      <c r="J24" s="9"/>
      <c r="K24" s="3">
        <f t="shared" si="1"/>
        <v>137038.01647058825</v>
      </c>
      <c r="M24" s="3">
        <f t="shared" si="2"/>
        <v>26868.240000000002</v>
      </c>
      <c r="N24" s="3">
        <f t="shared" si="3"/>
        <v>32109.411764705881</v>
      </c>
      <c r="O24" s="10"/>
      <c r="P24" s="10">
        <f t="shared" si="4"/>
        <v>58977.651764705879</v>
      </c>
      <c r="Q24" s="10"/>
      <c r="R24" s="10">
        <f t="shared" si="5"/>
        <v>183.67714798666324</v>
      </c>
      <c r="S24" s="10">
        <f t="shared" si="12"/>
        <v>215.28</v>
      </c>
      <c r="T24" s="70">
        <f t="shared" si="6"/>
        <v>398.95714798666324</v>
      </c>
      <c r="V24" s="42">
        <f t="shared" si="7"/>
        <v>324.1361435058763</v>
      </c>
      <c r="W24" s="10">
        <f t="shared" si="8"/>
        <v>379.44</v>
      </c>
      <c r="X24" s="74">
        <f t="shared" si="9"/>
        <v>703.5761435058763</v>
      </c>
      <c r="Z24" s="42">
        <f t="shared" si="10"/>
        <v>404.08972557065908</v>
      </c>
      <c r="AA24" s="10">
        <f t="shared" si="11"/>
        <v>473.04</v>
      </c>
      <c r="AB24" s="74">
        <f t="shared" si="13"/>
        <v>877.12972557065905</v>
      </c>
    </row>
    <row r="25" spans="1:28" x14ac:dyDescent="0.25">
      <c r="A25">
        <v>2019</v>
      </c>
      <c r="B25" s="2">
        <v>4</v>
      </c>
      <c r="C25" s="2" t="s">
        <v>11</v>
      </c>
      <c r="D25" s="3">
        <v>72000</v>
      </c>
      <c r="E25" s="3">
        <v>307000</v>
      </c>
      <c r="F25" s="3">
        <v>30000</v>
      </c>
      <c r="G25" s="10">
        <f t="shared" si="0"/>
        <v>409000</v>
      </c>
      <c r="H25" s="3">
        <v>500000</v>
      </c>
      <c r="I25" s="10">
        <f>SUM(H15:H25)*$F$59/4</f>
        <v>23750</v>
      </c>
      <c r="J25" s="9"/>
      <c r="K25" s="3">
        <f t="shared" si="1"/>
        <v>263265.66823529417</v>
      </c>
      <c r="M25" s="3">
        <f t="shared" si="2"/>
        <v>26868.240000000002</v>
      </c>
      <c r="N25" s="3">
        <f t="shared" si="3"/>
        <v>32109.411764705881</v>
      </c>
      <c r="O25" s="10"/>
      <c r="P25" s="10">
        <f t="shared" si="4"/>
        <v>58977.651764705879</v>
      </c>
      <c r="Q25" s="10"/>
      <c r="R25" s="10">
        <f t="shared" si="5"/>
        <v>183.67714798666324</v>
      </c>
      <c r="S25" s="10">
        <f t="shared" si="12"/>
        <v>215.28</v>
      </c>
      <c r="T25" s="70">
        <f t="shared" si="6"/>
        <v>398.95714798666324</v>
      </c>
      <c r="V25" s="42">
        <f t="shared" si="7"/>
        <v>324.1361435058763</v>
      </c>
      <c r="W25" s="10">
        <f t="shared" si="8"/>
        <v>379.44</v>
      </c>
      <c r="X25" s="74">
        <f t="shared" si="9"/>
        <v>703.5761435058763</v>
      </c>
      <c r="Z25" s="42">
        <f t="shared" si="10"/>
        <v>404.08972557065908</v>
      </c>
      <c r="AA25" s="10">
        <f t="shared" si="11"/>
        <v>473.04</v>
      </c>
      <c r="AB25" s="74">
        <f t="shared" si="13"/>
        <v>877.12972557065905</v>
      </c>
    </row>
    <row r="26" spans="1:28" x14ac:dyDescent="0.25">
      <c r="A26">
        <v>2020</v>
      </c>
      <c r="B26" s="2">
        <v>1</v>
      </c>
      <c r="F26" s="3"/>
      <c r="G26" s="10">
        <f t="shared" si="0"/>
        <v>0</v>
      </c>
      <c r="I26" s="10">
        <v>0</v>
      </c>
      <c r="J26" s="9"/>
      <c r="K26" s="3">
        <f t="shared" si="1"/>
        <v>322243.32000000007</v>
      </c>
      <c r="M26" s="3">
        <f t="shared" si="2"/>
        <v>26868.240000000002</v>
      </c>
      <c r="N26" s="3">
        <f t="shared" si="3"/>
        <v>32109.411764705881</v>
      </c>
      <c r="O26" s="10">
        <f>$F$63</f>
        <v>63639.309143445134</v>
      </c>
      <c r="P26" s="10">
        <f t="shared" si="4"/>
        <v>122616.96090815101</v>
      </c>
      <c r="Q26" s="10"/>
      <c r="R26" s="10">
        <f t="shared" si="5"/>
        <v>381.87233639368469</v>
      </c>
      <c r="S26" s="10">
        <f t="shared" si="12"/>
        <v>215.28</v>
      </c>
      <c r="T26" s="70">
        <f t="shared" si="6"/>
        <v>597.15233639368466</v>
      </c>
      <c r="V26" s="42">
        <f t="shared" si="7"/>
        <v>673.89235834179647</v>
      </c>
      <c r="W26" s="10">
        <f t="shared" si="8"/>
        <v>379.44</v>
      </c>
      <c r="X26" s="74">
        <f t="shared" si="9"/>
        <v>1053.3323583417964</v>
      </c>
      <c r="Z26" s="42">
        <f t="shared" si="10"/>
        <v>840.1191400661063</v>
      </c>
      <c r="AA26" s="10">
        <f t="shared" si="11"/>
        <v>473.04</v>
      </c>
      <c r="AB26" s="74">
        <f t="shared" si="13"/>
        <v>1313.1591400661064</v>
      </c>
    </row>
    <row r="27" spans="1:28" x14ac:dyDescent="0.25">
      <c r="A27">
        <v>2020</v>
      </c>
      <c r="B27" s="2">
        <v>2</v>
      </c>
      <c r="C27" s="2" t="s">
        <v>12</v>
      </c>
      <c r="D27" s="8"/>
      <c r="E27" s="8">
        <v>289000</v>
      </c>
      <c r="F27" s="8"/>
      <c r="G27" s="20">
        <f t="shared" si="0"/>
        <v>289000</v>
      </c>
      <c r="H27" s="8">
        <v>0</v>
      </c>
      <c r="I27" s="10">
        <v>0</v>
      </c>
      <c r="J27" s="9"/>
      <c r="K27" s="3">
        <f t="shared" si="1"/>
        <v>92220.971764705944</v>
      </c>
      <c r="M27" s="3">
        <f t="shared" si="2"/>
        <v>26868.240000000002</v>
      </c>
      <c r="N27" s="3">
        <f t="shared" si="3"/>
        <v>32109.411764705881</v>
      </c>
      <c r="O27" s="10">
        <f>$F$63</f>
        <v>63639.309143445134</v>
      </c>
      <c r="P27" s="10">
        <f t="shared" si="4"/>
        <v>122616.96090815101</v>
      </c>
      <c r="Q27" s="10"/>
      <c r="R27" s="10">
        <f t="shared" si="5"/>
        <v>381.87233639368469</v>
      </c>
      <c r="S27" s="10">
        <f t="shared" si="12"/>
        <v>215.28</v>
      </c>
      <c r="T27" s="70">
        <f t="shared" si="6"/>
        <v>597.15233639368466</v>
      </c>
      <c r="V27" s="42">
        <f t="shared" si="7"/>
        <v>673.89235834179647</v>
      </c>
      <c r="W27" s="10">
        <f t="shared" si="8"/>
        <v>379.44</v>
      </c>
      <c r="X27" s="74">
        <f t="shared" si="9"/>
        <v>1053.3323583417964</v>
      </c>
      <c r="Z27" s="42">
        <f t="shared" si="10"/>
        <v>840.1191400661063</v>
      </c>
      <c r="AA27" s="10">
        <f t="shared" si="11"/>
        <v>473.04</v>
      </c>
      <c r="AB27" s="74">
        <f t="shared" si="13"/>
        <v>1313.1591400661064</v>
      </c>
    </row>
    <row r="28" spans="1:28" x14ac:dyDescent="0.25">
      <c r="A28">
        <v>2020</v>
      </c>
      <c r="B28" s="2">
        <v>3</v>
      </c>
      <c r="G28" s="20">
        <f t="shared" si="0"/>
        <v>0</v>
      </c>
      <c r="K28" s="3">
        <f t="shared" si="1"/>
        <v>151198.62352941182</v>
      </c>
      <c r="M28" s="3">
        <f t="shared" si="2"/>
        <v>26868.240000000002</v>
      </c>
      <c r="N28" s="3">
        <f t="shared" si="3"/>
        <v>32109.411764705881</v>
      </c>
      <c r="O28" s="10">
        <f>$F$63</f>
        <v>63639.309143445134</v>
      </c>
      <c r="P28" s="10">
        <f t="shared" si="4"/>
        <v>122616.96090815101</v>
      </c>
      <c r="Q28" s="10"/>
      <c r="R28" s="10">
        <f t="shared" si="5"/>
        <v>381.87233639368469</v>
      </c>
      <c r="S28" s="10">
        <f t="shared" si="12"/>
        <v>215.28</v>
      </c>
      <c r="T28" s="70">
        <f t="shared" si="6"/>
        <v>597.15233639368466</v>
      </c>
      <c r="V28" s="42">
        <f t="shared" si="7"/>
        <v>673.89235834179647</v>
      </c>
      <c r="W28" s="10">
        <f t="shared" si="8"/>
        <v>379.44</v>
      </c>
      <c r="X28" s="74">
        <f t="shared" si="9"/>
        <v>1053.3323583417964</v>
      </c>
      <c r="Z28" s="42">
        <f t="shared" si="10"/>
        <v>840.1191400661063</v>
      </c>
      <c r="AA28" s="10">
        <f t="shared" si="11"/>
        <v>473.04</v>
      </c>
      <c r="AB28" s="74">
        <f t="shared" si="13"/>
        <v>1313.1591400661064</v>
      </c>
    </row>
    <row r="29" spans="1:28" x14ac:dyDescent="0.25">
      <c r="A29">
        <v>2020</v>
      </c>
      <c r="B29" s="2">
        <v>4</v>
      </c>
      <c r="F29" s="3">
        <v>30000</v>
      </c>
      <c r="G29" s="20">
        <f t="shared" si="0"/>
        <v>30000</v>
      </c>
      <c r="K29" s="3">
        <f t="shared" si="1"/>
        <v>180176.27529411769</v>
      </c>
      <c r="M29" s="3">
        <f t="shared" si="2"/>
        <v>26868.240000000002</v>
      </c>
      <c r="N29" s="3">
        <f t="shared" si="3"/>
        <v>32109.411764705881</v>
      </c>
      <c r="O29" s="10">
        <f t="shared" ref="O29:O45" si="14">$F$63</f>
        <v>63639.309143445134</v>
      </c>
      <c r="P29" s="10">
        <f t="shared" si="4"/>
        <v>122616.96090815101</v>
      </c>
      <c r="Q29" s="10"/>
      <c r="R29" s="10">
        <f t="shared" si="5"/>
        <v>381.87233639368469</v>
      </c>
      <c r="S29" s="10">
        <f t="shared" si="12"/>
        <v>215.28</v>
      </c>
      <c r="T29" s="70">
        <f t="shared" si="6"/>
        <v>597.15233639368466</v>
      </c>
      <c r="V29" s="42">
        <f t="shared" si="7"/>
        <v>673.89235834179647</v>
      </c>
      <c r="W29" s="10">
        <f t="shared" si="8"/>
        <v>379.44</v>
      </c>
      <c r="X29" s="74">
        <f t="shared" si="9"/>
        <v>1053.3323583417964</v>
      </c>
      <c r="Z29" s="42">
        <f t="shared" si="10"/>
        <v>840.1191400661063</v>
      </c>
      <c r="AA29" s="10">
        <f t="shared" si="11"/>
        <v>473.04</v>
      </c>
      <c r="AB29" s="74">
        <f t="shared" si="13"/>
        <v>1313.1591400661064</v>
      </c>
    </row>
    <row r="30" spans="1:28" x14ac:dyDescent="0.25">
      <c r="A30">
        <v>2021</v>
      </c>
      <c r="B30" s="2">
        <v>1</v>
      </c>
      <c r="F30" s="3"/>
      <c r="G30" s="20">
        <f t="shared" si="0"/>
        <v>0</v>
      </c>
      <c r="K30" s="3">
        <f t="shared" si="1"/>
        <v>239153.92705882358</v>
      </c>
      <c r="M30" s="3">
        <f t="shared" si="2"/>
        <v>26868.240000000002</v>
      </c>
      <c r="N30" s="3">
        <f t="shared" si="3"/>
        <v>32109.411764705881</v>
      </c>
      <c r="O30" s="10">
        <f t="shared" si="14"/>
        <v>63639.309143445134</v>
      </c>
      <c r="P30" s="10">
        <f t="shared" si="4"/>
        <v>122616.96090815101</v>
      </c>
      <c r="Q30" s="10"/>
      <c r="R30" s="10">
        <f t="shared" si="5"/>
        <v>381.87233639368469</v>
      </c>
      <c r="S30" s="10">
        <f t="shared" si="12"/>
        <v>215.28</v>
      </c>
      <c r="T30" s="70">
        <f t="shared" si="6"/>
        <v>597.15233639368466</v>
      </c>
      <c r="V30" s="42">
        <f t="shared" si="7"/>
        <v>673.89235834179647</v>
      </c>
      <c r="W30" s="10">
        <f t="shared" si="8"/>
        <v>379.44</v>
      </c>
      <c r="X30" s="74">
        <f t="shared" si="9"/>
        <v>1053.3323583417964</v>
      </c>
      <c r="Z30" s="42">
        <f t="shared" si="10"/>
        <v>840.1191400661063</v>
      </c>
      <c r="AA30" s="10">
        <f t="shared" si="11"/>
        <v>473.04</v>
      </c>
      <c r="AB30" s="74">
        <f t="shared" si="13"/>
        <v>1313.1591400661064</v>
      </c>
    </row>
    <row r="31" spans="1:28" x14ac:dyDescent="0.25">
      <c r="A31">
        <v>2021</v>
      </c>
      <c r="B31" s="2">
        <v>2</v>
      </c>
      <c r="F31" s="3"/>
      <c r="G31" s="20">
        <f t="shared" si="0"/>
        <v>0</v>
      </c>
      <c r="K31" s="3">
        <f t="shared" si="1"/>
        <v>298131.57882352947</v>
      </c>
      <c r="M31" s="3">
        <f t="shared" si="2"/>
        <v>26868.240000000002</v>
      </c>
      <c r="N31" s="3">
        <f t="shared" si="3"/>
        <v>32109.411764705881</v>
      </c>
      <c r="O31" s="10">
        <f t="shared" si="14"/>
        <v>63639.309143445134</v>
      </c>
      <c r="P31" s="10">
        <f t="shared" si="4"/>
        <v>122616.96090815101</v>
      </c>
      <c r="Q31" s="10"/>
      <c r="R31" s="10">
        <f t="shared" si="5"/>
        <v>381.87233639368469</v>
      </c>
      <c r="S31" s="10">
        <f t="shared" si="12"/>
        <v>215.28</v>
      </c>
      <c r="T31" s="70">
        <f t="shared" si="6"/>
        <v>597.15233639368466</v>
      </c>
      <c r="V31" s="42">
        <f t="shared" si="7"/>
        <v>673.89235834179647</v>
      </c>
      <c r="W31" s="10">
        <f t="shared" si="8"/>
        <v>379.44</v>
      </c>
      <c r="X31" s="74">
        <f t="shared" si="9"/>
        <v>1053.3323583417964</v>
      </c>
      <c r="Z31" s="42">
        <f t="shared" si="10"/>
        <v>840.1191400661063</v>
      </c>
      <c r="AA31" s="10">
        <f t="shared" si="11"/>
        <v>473.04</v>
      </c>
      <c r="AB31" s="74">
        <f t="shared" si="13"/>
        <v>1313.1591400661064</v>
      </c>
    </row>
    <row r="32" spans="1:28" x14ac:dyDescent="0.25">
      <c r="A32">
        <v>2021</v>
      </c>
      <c r="B32" s="2">
        <v>3</v>
      </c>
      <c r="F32" s="3"/>
      <c r="G32" s="20">
        <f t="shared" si="0"/>
        <v>0</v>
      </c>
      <c r="K32" s="3">
        <f t="shared" si="1"/>
        <v>357109.23058823537</v>
      </c>
      <c r="M32" s="3">
        <f t="shared" si="2"/>
        <v>26868.240000000002</v>
      </c>
      <c r="N32" s="3">
        <f t="shared" si="3"/>
        <v>32109.411764705881</v>
      </c>
      <c r="O32" s="10">
        <f t="shared" si="14"/>
        <v>63639.309143445134</v>
      </c>
      <c r="P32" s="10">
        <f t="shared" si="4"/>
        <v>122616.96090815101</v>
      </c>
      <c r="Q32" s="10"/>
      <c r="R32" s="10">
        <f t="shared" si="5"/>
        <v>381.87233639368469</v>
      </c>
      <c r="S32" s="10">
        <f t="shared" si="12"/>
        <v>215.28</v>
      </c>
      <c r="T32" s="70">
        <f t="shared" si="6"/>
        <v>597.15233639368466</v>
      </c>
      <c r="V32" s="42">
        <f t="shared" si="7"/>
        <v>673.89235834179647</v>
      </c>
      <c r="W32" s="10">
        <f t="shared" si="8"/>
        <v>379.44</v>
      </c>
      <c r="X32" s="74">
        <f t="shared" si="9"/>
        <v>1053.3323583417964</v>
      </c>
      <c r="Z32" s="42">
        <f t="shared" si="10"/>
        <v>840.1191400661063</v>
      </c>
      <c r="AA32" s="10">
        <f t="shared" si="11"/>
        <v>473.04</v>
      </c>
      <c r="AB32" s="74">
        <f t="shared" si="13"/>
        <v>1313.1591400661064</v>
      </c>
    </row>
    <row r="33" spans="1:28" x14ac:dyDescent="0.25">
      <c r="A33">
        <v>2021</v>
      </c>
      <c r="B33" s="2">
        <v>4</v>
      </c>
      <c r="F33" s="3">
        <v>30000</v>
      </c>
      <c r="G33" s="20">
        <f t="shared" si="0"/>
        <v>30000</v>
      </c>
      <c r="K33" s="3">
        <f t="shared" si="1"/>
        <v>386086.88235294126</v>
      </c>
      <c r="M33" s="3">
        <f t="shared" si="2"/>
        <v>26868.240000000002</v>
      </c>
      <c r="N33" s="3">
        <f t="shared" si="3"/>
        <v>32109.411764705881</v>
      </c>
      <c r="O33" s="10">
        <f t="shared" si="14"/>
        <v>63639.309143445134</v>
      </c>
      <c r="P33" s="10">
        <f t="shared" si="4"/>
        <v>122616.96090815101</v>
      </c>
      <c r="Q33" s="10"/>
      <c r="R33" s="10">
        <f t="shared" si="5"/>
        <v>381.87233639368469</v>
      </c>
      <c r="S33" s="10">
        <f t="shared" si="12"/>
        <v>215.28</v>
      </c>
      <c r="T33" s="70">
        <f t="shared" si="6"/>
        <v>597.15233639368466</v>
      </c>
      <c r="V33" s="42">
        <f t="shared" si="7"/>
        <v>673.89235834179647</v>
      </c>
      <c r="W33" s="10">
        <f t="shared" si="8"/>
        <v>379.44</v>
      </c>
      <c r="X33" s="74">
        <f t="shared" si="9"/>
        <v>1053.3323583417964</v>
      </c>
      <c r="Z33" s="42">
        <f t="shared" si="10"/>
        <v>840.1191400661063</v>
      </c>
      <c r="AA33" s="10">
        <f t="shared" si="11"/>
        <v>473.04</v>
      </c>
      <c r="AB33" s="74">
        <f t="shared" si="13"/>
        <v>1313.1591400661064</v>
      </c>
    </row>
    <row r="34" spans="1:28" x14ac:dyDescent="0.25">
      <c r="A34">
        <v>2022</v>
      </c>
      <c r="B34" s="2">
        <v>1</v>
      </c>
      <c r="F34" s="3"/>
      <c r="G34" s="20">
        <f t="shared" si="0"/>
        <v>0</v>
      </c>
      <c r="K34" s="3">
        <f t="shared" si="1"/>
        <v>445064.53411764716</v>
      </c>
      <c r="M34" s="3">
        <f t="shared" si="2"/>
        <v>26868.240000000002</v>
      </c>
      <c r="N34" s="3">
        <f t="shared" si="3"/>
        <v>32109.411764705881</v>
      </c>
      <c r="O34" s="10">
        <f t="shared" si="14"/>
        <v>63639.309143445134</v>
      </c>
      <c r="P34" s="10">
        <f t="shared" si="4"/>
        <v>122616.96090815101</v>
      </c>
      <c r="Q34" s="10"/>
      <c r="R34" s="10">
        <f t="shared" si="5"/>
        <v>381.87233639368469</v>
      </c>
      <c r="S34" s="10">
        <f t="shared" si="12"/>
        <v>215.28</v>
      </c>
      <c r="T34" s="70">
        <f t="shared" si="6"/>
        <v>597.15233639368466</v>
      </c>
      <c r="V34" s="42">
        <f t="shared" si="7"/>
        <v>673.89235834179647</v>
      </c>
      <c r="W34" s="10">
        <f t="shared" si="8"/>
        <v>379.44</v>
      </c>
      <c r="X34" s="74">
        <f t="shared" si="9"/>
        <v>1053.3323583417964</v>
      </c>
      <c r="Z34" s="42">
        <f t="shared" si="10"/>
        <v>840.1191400661063</v>
      </c>
      <c r="AA34" s="10">
        <f t="shared" si="11"/>
        <v>473.04</v>
      </c>
      <c r="AB34" s="74">
        <f t="shared" si="13"/>
        <v>1313.1591400661064</v>
      </c>
    </row>
    <row r="35" spans="1:28" x14ac:dyDescent="0.25">
      <c r="A35">
        <v>2022</v>
      </c>
      <c r="B35" s="2">
        <v>2</v>
      </c>
      <c r="F35" s="3"/>
      <c r="G35" s="20">
        <f t="shared" si="0"/>
        <v>0</v>
      </c>
      <c r="K35" s="3">
        <f t="shared" si="1"/>
        <v>504042.18588235305</v>
      </c>
      <c r="M35" s="3">
        <f t="shared" si="2"/>
        <v>26868.240000000002</v>
      </c>
      <c r="N35" s="3">
        <f t="shared" si="3"/>
        <v>32109.411764705881</v>
      </c>
      <c r="O35" s="10">
        <f t="shared" si="14"/>
        <v>63639.309143445134</v>
      </c>
      <c r="P35" s="10">
        <f t="shared" si="4"/>
        <v>122616.96090815101</v>
      </c>
      <c r="Q35" s="10"/>
      <c r="R35" s="10">
        <f t="shared" si="5"/>
        <v>381.87233639368469</v>
      </c>
      <c r="S35" s="10">
        <f t="shared" si="12"/>
        <v>215.28</v>
      </c>
      <c r="T35" s="70">
        <f t="shared" si="6"/>
        <v>597.15233639368466</v>
      </c>
      <c r="V35" s="42">
        <f t="shared" si="7"/>
        <v>673.89235834179647</v>
      </c>
      <c r="W35" s="10">
        <f t="shared" si="8"/>
        <v>379.44</v>
      </c>
      <c r="X35" s="74">
        <f t="shared" si="9"/>
        <v>1053.3323583417964</v>
      </c>
      <c r="Z35" s="42">
        <f t="shared" si="10"/>
        <v>840.1191400661063</v>
      </c>
      <c r="AA35" s="10">
        <f t="shared" si="11"/>
        <v>473.04</v>
      </c>
      <c r="AB35" s="74">
        <f t="shared" si="13"/>
        <v>1313.1591400661064</v>
      </c>
    </row>
    <row r="36" spans="1:28" x14ac:dyDescent="0.25">
      <c r="A36">
        <v>2022</v>
      </c>
      <c r="B36" s="2">
        <v>3</v>
      </c>
      <c r="F36" s="3"/>
      <c r="G36" s="20">
        <f t="shared" si="0"/>
        <v>0</v>
      </c>
      <c r="K36" s="3">
        <f t="shared" si="1"/>
        <v>563019.83764705888</v>
      </c>
      <c r="M36" s="3">
        <f t="shared" si="2"/>
        <v>26868.240000000002</v>
      </c>
      <c r="N36" s="3">
        <f t="shared" si="3"/>
        <v>32109.411764705881</v>
      </c>
      <c r="O36" s="10">
        <f t="shared" si="14"/>
        <v>63639.309143445134</v>
      </c>
      <c r="P36" s="10">
        <f t="shared" si="4"/>
        <v>122616.96090815101</v>
      </c>
      <c r="Q36" s="10"/>
      <c r="R36" s="10">
        <f t="shared" si="5"/>
        <v>381.87233639368469</v>
      </c>
      <c r="S36" s="10">
        <f t="shared" si="12"/>
        <v>215.28</v>
      </c>
      <c r="T36" s="70">
        <f t="shared" si="6"/>
        <v>597.15233639368466</v>
      </c>
      <c r="V36" s="42">
        <f t="shared" si="7"/>
        <v>673.89235834179647</v>
      </c>
      <c r="W36" s="10">
        <f t="shared" si="8"/>
        <v>379.44</v>
      </c>
      <c r="X36" s="74">
        <f t="shared" si="9"/>
        <v>1053.3323583417964</v>
      </c>
      <c r="Z36" s="42">
        <f t="shared" si="10"/>
        <v>840.1191400661063</v>
      </c>
      <c r="AA36" s="10">
        <f t="shared" si="11"/>
        <v>473.04</v>
      </c>
      <c r="AB36" s="74">
        <f t="shared" si="13"/>
        <v>1313.1591400661064</v>
      </c>
    </row>
    <row r="37" spans="1:28" x14ac:dyDescent="0.25">
      <c r="A37">
        <v>2022</v>
      </c>
      <c r="B37" s="2">
        <v>4</v>
      </c>
      <c r="F37" s="3"/>
      <c r="G37" s="20">
        <f t="shared" si="0"/>
        <v>0</v>
      </c>
      <c r="K37" s="3">
        <f t="shared" si="1"/>
        <v>621997.48941176478</v>
      </c>
      <c r="M37" s="3">
        <f t="shared" si="2"/>
        <v>26868.240000000002</v>
      </c>
      <c r="N37" s="3">
        <f t="shared" si="3"/>
        <v>32109.411764705881</v>
      </c>
      <c r="O37" s="10">
        <f t="shared" si="14"/>
        <v>63639.309143445134</v>
      </c>
      <c r="P37" s="10">
        <f t="shared" si="4"/>
        <v>122616.96090815101</v>
      </c>
      <c r="Q37" s="10"/>
      <c r="R37" s="10">
        <f t="shared" si="5"/>
        <v>381.87233639368469</v>
      </c>
      <c r="S37" s="10">
        <f t="shared" si="12"/>
        <v>215.28</v>
      </c>
      <c r="T37" s="70">
        <f t="shared" si="6"/>
        <v>597.15233639368466</v>
      </c>
      <c r="V37" s="42">
        <f t="shared" si="7"/>
        <v>673.89235834179647</v>
      </c>
      <c r="W37" s="10">
        <f t="shared" si="8"/>
        <v>379.44</v>
      </c>
      <c r="X37" s="74">
        <f t="shared" si="9"/>
        <v>1053.3323583417964</v>
      </c>
      <c r="Z37" s="42">
        <f t="shared" si="10"/>
        <v>840.1191400661063</v>
      </c>
      <c r="AA37" s="10">
        <f t="shared" si="11"/>
        <v>473.04</v>
      </c>
      <c r="AB37" s="74">
        <f t="shared" si="13"/>
        <v>1313.1591400661064</v>
      </c>
    </row>
    <row r="38" spans="1:28" x14ac:dyDescent="0.25">
      <c r="A38">
        <v>2023</v>
      </c>
      <c r="B38" s="2">
        <v>1</v>
      </c>
      <c r="G38" s="20">
        <f t="shared" si="0"/>
        <v>0</v>
      </c>
      <c r="K38" s="3">
        <f t="shared" si="1"/>
        <v>680975.14117647067</v>
      </c>
      <c r="M38" s="3">
        <f t="shared" si="2"/>
        <v>26868.240000000002</v>
      </c>
      <c r="N38" s="3">
        <f t="shared" si="3"/>
        <v>32109.411764705881</v>
      </c>
      <c r="O38" s="10">
        <f t="shared" si="14"/>
        <v>63639.309143445134</v>
      </c>
      <c r="P38" s="10">
        <f t="shared" si="4"/>
        <v>122616.96090815101</v>
      </c>
      <c r="Q38" s="10"/>
      <c r="R38" s="10">
        <f t="shared" si="5"/>
        <v>381.87233639368469</v>
      </c>
      <c r="S38" s="10">
        <f t="shared" si="12"/>
        <v>215.28</v>
      </c>
      <c r="T38" s="70">
        <f t="shared" si="6"/>
        <v>597.15233639368466</v>
      </c>
      <c r="V38" s="42">
        <f t="shared" si="7"/>
        <v>673.89235834179647</v>
      </c>
      <c r="W38" s="10">
        <f t="shared" si="8"/>
        <v>379.44</v>
      </c>
      <c r="X38" s="74">
        <f t="shared" si="9"/>
        <v>1053.3323583417964</v>
      </c>
      <c r="Z38" s="42">
        <f t="shared" si="10"/>
        <v>840.1191400661063</v>
      </c>
      <c r="AA38" s="10">
        <f t="shared" si="11"/>
        <v>473.04</v>
      </c>
      <c r="AB38" s="74">
        <f t="shared" si="13"/>
        <v>1313.1591400661064</v>
      </c>
    </row>
    <row r="39" spans="1:28" x14ac:dyDescent="0.25">
      <c r="A39">
        <v>2023</v>
      </c>
      <c r="B39" s="2">
        <v>2</v>
      </c>
      <c r="G39" s="20">
        <f t="shared" si="0"/>
        <v>0</v>
      </c>
      <c r="K39" s="3">
        <f t="shared" si="1"/>
        <v>739952.79294117657</v>
      </c>
      <c r="M39" s="3">
        <f t="shared" si="2"/>
        <v>26868.240000000002</v>
      </c>
      <c r="N39" s="3">
        <f t="shared" si="3"/>
        <v>32109.411764705881</v>
      </c>
      <c r="O39" s="10">
        <f t="shared" si="14"/>
        <v>63639.309143445134</v>
      </c>
      <c r="P39" s="10">
        <f t="shared" si="4"/>
        <v>122616.96090815101</v>
      </c>
      <c r="Q39" s="10"/>
      <c r="R39" s="10">
        <f t="shared" si="5"/>
        <v>381.87233639368469</v>
      </c>
      <c r="S39" s="10">
        <f t="shared" si="12"/>
        <v>215.28</v>
      </c>
      <c r="T39" s="70">
        <f t="shared" si="6"/>
        <v>597.15233639368466</v>
      </c>
      <c r="V39" s="42">
        <f t="shared" si="7"/>
        <v>673.89235834179647</v>
      </c>
      <c r="W39" s="10">
        <f t="shared" si="8"/>
        <v>379.44</v>
      </c>
      <c r="X39" s="74">
        <f t="shared" si="9"/>
        <v>1053.3323583417964</v>
      </c>
      <c r="Z39" s="42">
        <f t="shared" si="10"/>
        <v>840.1191400661063</v>
      </c>
      <c r="AA39" s="10">
        <f t="shared" si="11"/>
        <v>473.04</v>
      </c>
      <c r="AB39" s="74">
        <f t="shared" si="13"/>
        <v>1313.1591400661064</v>
      </c>
    </row>
    <row r="40" spans="1:28" x14ac:dyDescent="0.25">
      <c r="A40">
        <v>2023</v>
      </c>
      <c r="B40" s="2">
        <v>3</v>
      </c>
      <c r="G40" s="20">
        <f t="shared" si="0"/>
        <v>0</v>
      </c>
      <c r="K40" s="3">
        <f t="shared" ref="K40:K45" si="15">K39-G40-I40+H40+SUM(M40:N40)</f>
        <v>798930.44470588246</v>
      </c>
      <c r="M40" s="3">
        <f t="shared" si="2"/>
        <v>26868.240000000002</v>
      </c>
      <c r="N40" s="3">
        <f t="shared" si="3"/>
        <v>32109.411764705881</v>
      </c>
      <c r="O40" s="10">
        <f t="shared" si="14"/>
        <v>63639.309143445134</v>
      </c>
      <c r="P40" s="10">
        <f t="shared" si="4"/>
        <v>122616.96090815101</v>
      </c>
      <c r="Q40" s="10"/>
      <c r="R40" s="10">
        <f t="shared" si="5"/>
        <v>381.87233639368469</v>
      </c>
      <c r="S40" s="10">
        <f t="shared" si="12"/>
        <v>215.28</v>
      </c>
      <c r="T40" s="70">
        <f t="shared" si="6"/>
        <v>597.15233639368466</v>
      </c>
      <c r="V40" s="42">
        <f t="shared" si="7"/>
        <v>673.89235834179647</v>
      </c>
      <c r="W40" s="10">
        <f t="shared" si="8"/>
        <v>379.44</v>
      </c>
      <c r="X40" s="74">
        <f t="shared" si="9"/>
        <v>1053.3323583417964</v>
      </c>
      <c r="Z40" s="42">
        <f t="shared" si="10"/>
        <v>840.1191400661063</v>
      </c>
      <c r="AA40" s="10">
        <f t="shared" si="11"/>
        <v>473.04</v>
      </c>
      <c r="AB40" s="74">
        <f t="shared" si="13"/>
        <v>1313.1591400661064</v>
      </c>
    </row>
    <row r="41" spans="1:28" x14ac:dyDescent="0.25">
      <c r="A41">
        <v>2023</v>
      </c>
      <c r="B41" s="2">
        <v>4</v>
      </c>
      <c r="F41" s="3"/>
      <c r="G41" s="20">
        <f t="shared" si="0"/>
        <v>0</v>
      </c>
      <c r="K41" s="3">
        <f t="shared" si="15"/>
        <v>857908.09647058835</v>
      </c>
      <c r="M41" s="3">
        <f t="shared" si="2"/>
        <v>26868.240000000002</v>
      </c>
      <c r="N41" s="3">
        <f t="shared" si="3"/>
        <v>32109.411764705881</v>
      </c>
      <c r="O41" s="10">
        <f t="shared" si="14"/>
        <v>63639.309143445134</v>
      </c>
      <c r="P41" s="10">
        <f t="shared" si="4"/>
        <v>122616.96090815101</v>
      </c>
      <c r="Q41" s="10"/>
      <c r="R41" s="10">
        <f t="shared" si="5"/>
        <v>381.87233639368469</v>
      </c>
      <c r="S41" s="10">
        <f t="shared" si="12"/>
        <v>215.28</v>
      </c>
      <c r="T41" s="70">
        <f t="shared" si="6"/>
        <v>597.15233639368466</v>
      </c>
      <c r="V41" s="42">
        <f t="shared" si="7"/>
        <v>673.89235834179647</v>
      </c>
      <c r="W41" s="10">
        <f t="shared" si="8"/>
        <v>379.44</v>
      </c>
      <c r="X41" s="74">
        <f t="shared" si="9"/>
        <v>1053.3323583417964</v>
      </c>
      <c r="Z41" s="42">
        <f t="shared" si="10"/>
        <v>840.1191400661063</v>
      </c>
      <c r="AA41" s="10">
        <f t="shared" si="11"/>
        <v>473.04</v>
      </c>
      <c r="AB41" s="74">
        <f t="shared" si="13"/>
        <v>1313.1591400661064</v>
      </c>
    </row>
    <row r="42" spans="1:28" x14ac:dyDescent="0.25">
      <c r="A42">
        <v>2024</v>
      </c>
      <c r="B42" s="2">
        <v>1</v>
      </c>
      <c r="C42" s="2" t="s">
        <v>21</v>
      </c>
      <c r="D42" s="3">
        <v>80000</v>
      </c>
      <c r="G42" s="20">
        <f>SUM(D42:F42)</f>
        <v>80000</v>
      </c>
      <c r="K42" s="3">
        <f t="shared" si="15"/>
        <v>836885.74823529425</v>
      </c>
      <c r="M42" s="3">
        <f t="shared" si="2"/>
        <v>26868.240000000002</v>
      </c>
      <c r="N42" s="3">
        <f t="shared" si="3"/>
        <v>32109.411764705881</v>
      </c>
      <c r="O42" s="10">
        <f t="shared" si="14"/>
        <v>63639.309143445134</v>
      </c>
      <c r="P42" s="10">
        <f t="shared" si="4"/>
        <v>122616.96090815101</v>
      </c>
      <c r="Q42" s="10"/>
      <c r="R42" s="10">
        <f t="shared" si="5"/>
        <v>381.87233639368469</v>
      </c>
      <c r="S42" s="10">
        <f t="shared" si="12"/>
        <v>215.28</v>
      </c>
      <c r="T42" s="70">
        <f t="shared" si="6"/>
        <v>597.15233639368466</v>
      </c>
      <c r="V42" s="42">
        <f t="shared" si="7"/>
        <v>673.89235834179647</v>
      </c>
      <c r="W42" s="10">
        <f t="shared" si="8"/>
        <v>379.44</v>
      </c>
      <c r="X42" s="74">
        <f t="shared" si="9"/>
        <v>1053.3323583417964</v>
      </c>
      <c r="Z42" s="42">
        <f t="shared" si="10"/>
        <v>840.1191400661063</v>
      </c>
      <c r="AA42" s="10">
        <f t="shared" si="11"/>
        <v>473.04</v>
      </c>
      <c r="AB42" s="74">
        <f t="shared" si="13"/>
        <v>1313.1591400661064</v>
      </c>
    </row>
    <row r="43" spans="1:28" x14ac:dyDescent="0.25">
      <c r="A43">
        <v>2024</v>
      </c>
      <c r="B43" s="2">
        <v>2</v>
      </c>
      <c r="E43" s="3">
        <v>400000</v>
      </c>
      <c r="G43" s="20">
        <f>SUM(D43:F43)</f>
        <v>400000</v>
      </c>
      <c r="K43" s="3">
        <f t="shared" si="15"/>
        <v>495863.40000000014</v>
      </c>
      <c r="M43" s="3">
        <f t="shared" si="2"/>
        <v>26868.240000000002</v>
      </c>
      <c r="N43" s="3">
        <f t="shared" si="3"/>
        <v>32109.411764705881</v>
      </c>
      <c r="O43" s="10">
        <f t="shared" si="14"/>
        <v>63639.309143445134</v>
      </c>
      <c r="P43" s="10">
        <f t="shared" si="4"/>
        <v>122616.96090815101</v>
      </c>
      <c r="Q43" s="10"/>
      <c r="R43" s="10">
        <f t="shared" si="5"/>
        <v>381.87233639368469</v>
      </c>
      <c r="S43" s="10">
        <f t="shared" si="12"/>
        <v>215.28</v>
      </c>
      <c r="T43" s="70">
        <f t="shared" si="6"/>
        <v>597.15233639368466</v>
      </c>
      <c r="V43" s="42">
        <f t="shared" si="7"/>
        <v>673.89235834179647</v>
      </c>
      <c r="W43" s="10">
        <f t="shared" si="8"/>
        <v>379.44</v>
      </c>
      <c r="X43" s="74">
        <f t="shared" si="9"/>
        <v>1053.3323583417964</v>
      </c>
      <c r="Z43" s="42">
        <f t="shared" si="10"/>
        <v>840.1191400661063</v>
      </c>
      <c r="AA43" s="10">
        <f t="shared" si="11"/>
        <v>473.04</v>
      </c>
      <c r="AB43" s="74">
        <f t="shared" si="13"/>
        <v>1313.1591400661064</v>
      </c>
    </row>
    <row r="44" spans="1:28" x14ac:dyDescent="0.25">
      <c r="A44">
        <v>2024</v>
      </c>
      <c r="B44" s="2">
        <v>3</v>
      </c>
      <c r="C44" s="2" t="s">
        <v>21</v>
      </c>
      <c r="D44" s="3">
        <v>80000</v>
      </c>
      <c r="G44" s="20">
        <f>SUM(D44:F44)</f>
        <v>80000</v>
      </c>
      <c r="K44" s="3">
        <f t="shared" si="15"/>
        <v>474841.05176470603</v>
      </c>
      <c r="M44" s="3">
        <f t="shared" si="2"/>
        <v>26868.240000000002</v>
      </c>
      <c r="N44" s="3">
        <f t="shared" si="3"/>
        <v>32109.411764705881</v>
      </c>
      <c r="O44" s="10">
        <f t="shared" si="14"/>
        <v>63639.309143445134</v>
      </c>
      <c r="P44" s="10">
        <f t="shared" si="4"/>
        <v>122616.96090815101</v>
      </c>
      <c r="Q44" s="10"/>
      <c r="R44" s="10">
        <f t="shared" si="5"/>
        <v>381.87233639368469</v>
      </c>
      <c r="S44" s="10">
        <f t="shared" si="12"/>
        <v>215.28</v>
      </c>
      <c r="T44" s="70">
        <f t="shared" si="6"/>
        <v>597.15233639368466</v>
      </c>
      <c r="V44" s="42">
        <f t="shared" si="7"/>
        <v>673.89235834179647</v>
      </c>
      <c r="W44" s="10">
        <f t="shared" si="8"/>
        <v>379.44</v>
      </c>
      <c r="X44" s="74">
        <f t="shared" si="9"/>
        <v>1053.3323583417964</v>
      </c>
      <c r="Z44" s="42">
        <f t="shared" si="10"/>
        <v>840.1191400661063</v>
      </c>
      <c r="AA44" s="10">
        <f t="shared" si="11"/>
        <v>473.04</v>
      </c>
      <c r="AB44" s="74">
        <f t="shared" si="13"/>
        <v>1313.1591400661064</v>
      </c>
    </row>
    <row r="45" spans="1:28" x14ac:dyDescent="0.25">
      <c r="A45">
        <v>2024</v>
      </c>
      <c r="B45" s="2">
        <v>4</v>
      </c>
      <c r="D45" s="6"/>
      <c r="E45" s="6">
        <v>400000</v>
      </c>
      <c r="F45" s="21"/>
      <c r="G45" s="11">
        <f>SUM(D45:F45)</f>
        <v>400000</v>
      </c>
      <c r="H45" s="6"/>
      <c r="I45" s="21"/>
      <c r="K45" s="3">
        <f t="shared" si="15"/>
        <v>133818.70352941193</v>
      </c>
      <c r="M45" s="6">
        <f t="shared" si="2"/>
        <v>26868.240000000002</v>
      </c>
      <c r="N45" s="6">
        <f t="shared" si="3"/>
        <v>32109.411764705881</v>
      </c>
      <c r="O45" s="11">
        <f t="shared" si="14"/>
        <v>63639.309143445134</v>
      </c>
      <c r="P45" s="11">
        <f t="shared" si="4"/>
        <v>122616.96090815101</v>
      </c>
      <c r="Q45" s="11"/>
      <c r="R45" s="11">
        <f t="shared" si="5"/>
        <v>381.87233639368469</v>
      </c>
      <c r="S45" s="11">
        <f t="shared" si="12"/>
        <v>215.28</v>
      </c>
      <c r="T45" s="71">
        <f t="shared" si="6"/>
        <v>597.15233639368466</v>
      </c>
      <c r="V45" s="43">
        <f t="shared" si="7"/>
        <v>673.89235834179647</v>
      </c>
      <c r="W45" s="11">
        <f t="shared" si="8"/>
        <v>379.44</v>
      </c>
      <c r="X45" s="75">
        <f t="shared" si="9"/>
        <v>1053.3323583417964</v>
      </c>
      <c r="Z45" s="43">
        <f t="shared" si="10"/>
        <v>840.1191400661063</v>
      </c>
      <c r="AA45" s="11">
        <f t="shared" si="11"/>
        <v>473.04</v>
      </c>
      <c r="AB45" s="75">
        <f t="shared" si="13"/>
        <v>1313.1591400661064</v>
      </c>
    </row>
    <row r="46" spans="1:28" x14ac:dyDescent="0.25">
      <c r="A46" s="59" t="s">
        <v>23</v>
      </c>
      <c r="D46" s="3">
        <f>SUM(D8:D45)</f>
        <v>792000</v>
      </c>
      <c r="E46" s="3">
        <f>SUM(E8:E45)</f>
        <v>3400000</v>
      </c>
      <c r="F46" s="3">
        <f>SUM(F8:F45)</f>
        <v>185000</v>
      </c>
      <c r="G46" s="3">
        <f>SUM(G8:G45)</f>
        <v>4377000</v>
      </c>
      <c r="H46" s="77">
        <f t="shared" ref="H46:I46" si="16">SUM(H8:H45)</f>
        <v>2000000</v>
      </c>
      <c r="I46" s="3">
        <f t="shared" si="16"/>
        <v>110625</v>
      </c>
      <c r="M46" s="3">
        <f>SUM(M9:M45)</f>
        <v>994124.87999999977</v>
      </c>
      <c r="N46" s="3">
        <f>SUM(N9:N45)</f>
        <v>1155938.8235294118</v>
      </c>
      <c r="O46" s="3">
        <f>SUM(O9:O45)</f>
        <v>1272786.1828689026</v>
      </c>
      <c r="P46" s="3">
        <f>SUM(P9:P45)</f>
        <v>3422849.8863983168</v>
      </c>
      <c r="Q46" s="3"/>
      <c r="R46" s="3">
        <f t="shared" ref="R46:S46" si="17">SUM(R9:R45)</f>
        <v>10660.001095660298</v>
      </c>
      <c r="S46" s="3">
        <f t="shared" si="17"/>
        <v>7965.3599999999979</v>
      </c>
      <c r="T46" s="72">
        <f>SUM(T9:T45)</f>
        <v>18625.361095660304</v>
      </c>
      <c r="V46" s="3">
        <f t="shared" ref="V46" si="18">SUM(V9:V45)</f>
        <v>18811.585462929947</v>
      </c>
      <c r="W46" s="3">
        <f t="shared" ref="W46" si="19">SUM(W9:W45)</f>
        <v>14039.280000000004</v>
      </c>
      <c r="X46" s="72">
        <f t="shared" ref="X46:AB46" si="20">SUM(X9:X45)</f>
        <v>32850.865462929927</v>
      </c>
      <c r="Z46" s="3">
        <f t="shared" si="20"/>
        <v>23451.778410452654</v>
      </c>
      <c r="AA46" s="3">
        <f t="shared" si="20"/>
        <v>17502.480000000018</v>
      </c>
      <c r="AB46" s="72">
        <f t="shared" si="20"/>
        <v>40954.258410452661</v>
      </c>
    </row>
    <row r="47" spans="1:28" x14ac:dyDescent="0.25">
      <c r="E47" s="3">
        <f>E46+D46</f>
        <v>4192000</v>
      </c>
      <c r="T47" s="73"/>
      <c r="X47" s="73"/>
      <c r="AB47" s="73"/>
    </row>
    <row r="48" spans="1:28" x14ac:dyDescent="0.25">
      <c r="A48">
        <v>2025</v>
      </c>
      <c r="M48" s="3">
        <f>$F$79*4</f>
        <v>107472.96000000001</v>
      </c>
      <c r="O48" s="10">
        <f>$F$63*4</f>
        <v>254557.23657378054</v>
      </c>
      <c r="P48" s="10">
        <f t="shared" ref="P48:P52" si="21">SUM(M48:O48)</f>
        <v>362030.19657378056</v>
      </c>
      <c r="Q48" s="10"/>
      <c r="R48" s="10">
        <f>$H$68*P48</f>
        <v>1127.489345574739</v>
      </c>
      <c r="S48" s="10">
        <f>($H$75+$E$75)*4</f>
        <v>861.12</v>
      </c>
      <c r="T48" s="70">
        <f>SUM(R48:S48)</f>
        <v>1988.6093455747391</v>
      </c>
      <c r="V48" s="42">
        <f>$H$69*P48</f>
        <v>1989.6870804260097</v>
      </c>
      <c r="W48" s="10">
        <f>($H$76+$E$76)*4</f>
        <v>1517.76</v>
      </c>
      <c r="X48" s="74">
        <f t="shared" ref="X48:X52" si="22">SUM(V48:W48)</f>
        <v>3507.44708042601</v>
      </c>
      <c r="Z48" s="42">
        <f>$H$70*P48</f>
        <v>2480.4765602644252</v>
      </c>
      <c r="AA48" s="10">
        <f>($H$77+$E$77)*4</f>
        <v>1892.16</v>
      </c>
      <c r="AB48" s="74">
        <f t="shared" ref="AB48:AB52" si="23">SUM(Z48:AA48)</f>
        <v>4372.6365602644255</v>
      </c>
    </row>
    <row r="49" spans="1:28" x14ac:dyDescent="0.25">
      <c r="A49">
        <v>2026</v>
      </c>
      <c r="M49" s="3">
        <f t="shared" ref="M49:M52" si="24">$F$79*4</f>
        <v>107472.96000000001</v>
      </c>
      <c r="O49" s="10">
        <f t="shared" ref="O49:O52" si="25">$F$63*4</f>
        <v>254557.23657378054</v>
      </c>
      <c r="P49" s="10">
        <f t="shared" si="21"/>
        <v>362030.19657378056</v>
      </c>
      <c r="Q49" s="10"/>
      <c r="R49" s="10">
        <f>$H$68*P49</f>
        <v>1127.489345574739</v>
      </c>
      <c r="S49" s="10">
        <f t="shared" ref="S49:S52" si="26">($H$75+$E$75)*4</f>
        <v>861.12</v>
      </c>
      <c r="T49" s="70">
        <f t="shared" ref="T49:T52" si="27">SUM(R49:S49)</f>
        <v>1988.6093455747391</v>
      </c>
      <c r="V49" s="42">
        <f>$H$69*P49</f>
        <v>1989.6870804260097</v>
      </c>
      <c r="W49" s="10">
        <f t="shared" ref="W49:W52" si="28">($H$76+$E$76)*4</f>
        <v>1517.76</v>
      </c>
      <c r="X49" s="74">
        <f t="shared" si="22"/>
        <v>3507.44708042601</v>
      </c>
      <c r="Z49" s="42">
        <f>$H$70*P49</f>
        <v>2480.4765602644252</v>
      </c>
      <c r="AA49" s="10">
        <f t="shared" ref="AA49:AA52" si="29">($H$77+$E$77)*4</f>
        <v>1892.16</v>
      </c>
      <c r="AB49" s="74">
        <f t="shared" si="23"/>
        <v>4372.6365602644255</v>
      </c>
    </row>
    <row r="50" spans="1:28" x14ac:dyDescent="0.25">
      <c r="A50">
        <v>2027</v>
      </c>
      <c r="K50" s="3" t="s">
        <v>43</v>
      </c>
      <c r="M50" s="3">
        <f t="shared" si="24"/>
        <v>107472.96000000001</v>
      </c>
      <c r="O50" s="10">
        <f t="shared" si="25"/>
        <v>254557.23657378054</v>
      </c>
      <c r="P50" s="10">
        <f t="shared" si="21"/>
        <v>362030.19657378056</v>
      </c>
      <c r="Q50" s="10"/>
      <c r="R50" s="10">
        <f>$H$68*P50</f>
        <v>1127.489345574739</v>
      </c>
      <c r="S50" s="10">
        <f t="shared" si="26"/>
        <v>861.12</v>
      </c>
      <c r="T50" s="70">
        <f t="shared" si="27"/>
        <v>1988.6093455747391</v>
      </c>
      <c r="V50" s="42">
        <f>$H$69*P50</f>
        <v>1989.6870804260097</v>
      </c>
      <c r="W50" s="10">
        <f t="shared" si="28"/>
        <v>1517.76</v>
      </c>
      <c r="X50" s="74">
        <f t="shared" si="22"/>
        <v>3507.44708042601</v>
      </c>
      <c r="Z50" s="42">
        <f>$H$70*P50</f>
        <v>2480.4765602644252</v>
      </c>
      <c r="AA50" s="10">
        <f t="shared" si="29"/>
        <v>1892.16</v>
      </c>
      <c r="AB50" s="74">
        <f t="shared" si="23"/>
        <v>4372.6365602644255</v>
      </c>
    </row>
    <row r="51" spans="1:28" x14ac:dyDescent="0.25">
      <c r="A51">
        <v>2028</v>
      </c>
      <c r="M51" s="3">
        <f t="shared" si="24"/>
        <v>107472.96000000001</v>
      </c>
      <c r="O51" s="10">
        <f t="shared" si="25"/>
        <v>254557.23657378054</v>
      </c>
      <c r="P51" s="10">
        <f t="shared" si="21"/>
        <v>362030.19657378056</v>
      </c>
      <c r="Q51" s="10"/>
      <c r="R51" s="10">
        <f>$H$68*P51</f>
        <v>1127.489345574739</v>
      </c>
      <c r="S51" s="10">
        <f t="shared" si="26"/>
        <v>861.12</v>
      </c>
      <c r="T51" s="70">
        <f t="shared" si="27"/>
        <v>1988.6093455747391</v>
      </c>
      <c r="V51" s="42">
        <f>$H$69*P51</f>
        <v>1989.6870804260097</v>
      </c>
      <c r="W51" s="10">
        <f t="shared" si="28"/>
        <v>1517.76</v>
      </c>
      <c r="X51" s="74">
        <f t="shared" si="22"/>
        <v>3507.44708042601</v>
      </c>
      <c r="Z51" s="42">
        <f>$H$70*P51</f>
        <v>2480.4765602644252</v>
      </c>
      <c r="AA51" s="10">
        <f t="shared" si="29"/>
        <v>1892.16</v>
      </c>
      <c r="AB51" s="74">
        <f t="shared" si="23"/>
        <v>4372.6365602644255</v>
      </c>
    </row>
    <row r="52" spans="1:28" x14ac:dyDescent="0.25">
      <c r="A52">
        <v>2029</v>
      </c>
      <c r="M52" s="3">
        <f t="shared" si="24"/>
        <v>107472.96000000001</v>
      </c>
      <c r="O52" s="10">
        <f t="shared" si="25"/>
        <v>254557.23657378054</v>
      </c>
      <c r="P52" s="10">
        <f t="shared" si="21"/>
        <v>362030.19657378056</v>
      </c>
      <c r="Q52" s="10"/>
      <c r="R52" s="10">
        <f>$H$68*P52</f>
        <v>1127.489345574739</v>
      </c>
      <c r="S52" s="10">
        <f t="shared" si="26"/>
        <v>861.12</v>
      </c>
      <c r="T52" s="70">
        <f t="shared" si="27"/>
        <v>1988.6093455747391</v>
      </c>
      <c r="V52" s="42">
        <f>$H$69*P52</f>
        <v>1989.6870804260097</v>
      </c>
      <c r="W52" s="10">
        <f t="shared" si="28"/>
        <v>1517.76</v>
      </c>
      <c r="X52" s="74">
        <f t="shared" si="22"/>
        <v>3507.44708042601</v>
      </c>
      <c r="Z52" s="42">
        <f>$H$70*P52</f>
        <v>2480.4765602644252</v>
      </c>
      <c r="AA52" s="10">
        <f t="shared" si="29"/>
        <v>1892.16</v>
      </c>
      <c r="AB52" s="74">
        <f t="shared" si="23"/>
        <v>4372.6365602644255</v>
      </c>
    </row>
    <row r="53" spans="1:28" x14ac:dyDescent="0.25">
      <c r="M53" s="6"/>
      <c r="N53" s="8"/>
      <c r="O53" s="11"/>
      <c r="P53" s="11"/>
      <c r="Q53" s="20"/>
      <c r="R53" s="11"/>
      <c r="S53" s="11"/>
      <c r="T53" s="71"/>
      <c r="V53" s="43"/>
      <c r="W53" s="11"/>
      <c r="X53" s="75"/>
      <c r="Z53" s="43"/>
      <c r="AA53" s="11"/>
      <c r="AB53" s="75"/>
    </row>
    <row r="54" spans="1:28" x14ac:dyDescent="0.25">
      <c r="M54" s="3">
        <f>SUM(M46:M53)</f>
        <v>1531489.6799999997</v>
      </c>
      <c r="N54" s="8"/>
      <c r="O54" s="3">
        <f>SUM(O46:O53)</f>
        <v>2545572.3657378047</v>
      </c>
      <c r="P54" s="3">
        <f t="shared" ref="P54" si="30">SUM(P46:P53)</f>
        <v>5233000.8692672197</v>
      </c>
      <c r="Q54" s="3"/>
      <c r="R54" s="3">
        <f t="shared" ref="R54" si="31">SUM(R46:R53)</f>
        <v>16297.447823533992</v>
      </c>
      <c r="S54" s="3">
        <f t="shared" ref="S54" si="32">SUM(S46:S53)</f>
        <v>12270.960000000001</v>
      </c>
      <c r="T54" s="72">
        <f t="shared" ref="T54" si="33">SUM(T46:T53)</f>
        <v>28568.407823534002</v>
      </c>
      <c r="V54" s="3">
        <f t="shared" ref="V54" si="34">SUM(V46:V53)</f>
        <v>28760.02086506</v>
      </c>
      <c r="W54" s="3">
        <f t="shared" ref="W54" si="35">SUM(W46:W53)</f>
        <v>21628.079999999998</v>
      </c>
      <c r="X54" s="72">
        <f t="shared" ref="X54" si="36">SUM(X46:X53)</f>
        <v>50388.100865059991</v>
      </c>
      <c r="Z54" s="3">
        <f t="shared" ref="Z54:AB54" si="37">SUM(Z46:Z53)</f>
        <v>35854.161211774779</v>
      </c>
      <c r="AA54" s="3">
        <f t="shared" si="37"/>
        <v>26963.280000000017</v>
      </c>
      <c r="AB54" s="72">
        <f t="shared" si="37"/>
        <v>62817.441211774771</v>
      </c>
    </row>
    <row r="55" spans="1:28" x14ac:dyDescent="0.25">
      <c r="N55" s="8"/>
      <c r="O55" s="3"/>
      <c r="P55" s="3"/>
      <c r="Q55" s="3"/>
      <c r="R55" s="3"/>
      <c r="S55" s="3"/>
      <c r="T55" s="72"/>
      <c r="V55" s="3"/>
      <c r="W55" s="3"/>
      <c r="X55" s="72"/>
      <c r="Z55" s="3"/>
      <c r="AA55" s="3"/>
      <c r="AB55" s="72"/>
    </row>
    <row r="56" spans="1:28" x14ac:dyDescent="0.25">
      <c r="I56" s="10"/>
      <c r="N56" s="8"/>
      <c r="O56" s="3"/>
      <c r="P56" s="3"/>
      <c r="Q56" s="3"/>
      <c r="R56" s="3"/>
      <c r="S56" s="3"/>
      <c r="T56" s="3"/>
    </row>
    <row r="57" spans="1:28" x14ac:dyDescent="0.25">
      <c r="P57" s="10"/>
      <c r="R57" s="9">
        <f>R48/4</f>
        <v>281.87233639368475</v>
      </c>
      <c r="T57" s="10">
        <f>28270-T54</f>
        <v>-298.40782353400209</v>
      </c>
      <c r="X57" s="10">
        <f>49859-X54</f>
        <v>-529.10086505999061</v>
      </c>
      <c r="AB57" s="10">
        <f>62158-AB54</f>
        <v>-659.44121177477064</v>
      </c>
    </row>
    <row r="58" spans="1:28" x14ac:dyDescent="0.25">
      <c r="C58" s="12" t="s">
        <v>35</v>
      </c>
      <c r="D58" s="13"/>
      <c r="E58" s="13"/>
      <c r="F58" s="46">
        <v>2000000</v>
      </c>
      <c r="G58" s="23"/>
      <c r="T58">
        <f>T54*187</f>
        <v>5342292.263000858</v>
      </c>
    </row>
    <row r="59" spans="1:28" x14ac:dyDescent="0.25">
      <c r="C59" s="14" t="s">
        <v>39</v>
      </c>
      <c r="D59" s="8"/>
      <c r="E59" s="8"/>
      <c r="F59" s="45">
        <v>0.05</v>
      </c>
      <c r="G59" s="24"/>
    </row>
    <row r="60" spans="1:28" x14ac:dyDescent="0.25">
      <c r="C60" s="14" t="s">
        <v>37</v>
      </c>
      <c r="D60" s="8"/>
      <c r="E60" s="8"/>
      <c r="F60" s="44">
        <v>10</v>
      </c>
      <c r="G60" s="23"/>
    </row>
    <row r="61" spans="1:28" x14ac:dyDescent="0.25">
      <c r="C61" s="14" t="s">
        <v>38</v>
      </c>
      <c r="D61" s="8"/>
      <c r="E61" s="8"/>
      <c r="F61" s="16">
        <v>5</v>
      </c>
      <c r="G61" s="23"/>
    </row>
    <row r="62" spans="1:28" x14ac:dyDescent="0.25">
      <c r="C62" s="14" t="s">
        <v>42</v>
      </c>
      <c r="D62" s="8"/>
      <c r="E62" s="8"/>
      <c r="F62" s="18">
        <f>PMT(F59/12,F60*12,F58,0)*-1</f>
        <v>21213.103047815046</v>
      </c>
      <c r="G62" s="25"/>
      <c r="R62" s="3"/>
    </row>
    <row r="63" spans="1:28" x14ac:dyDescent="0.25">
      <c r="C63" s="14" t="s">
        <v>47</v>
      </c>
      <c r="D63" s="8"/>
      <c r="E63" s="8"/>
      <c r="F63" s="18">
        <f>F62*3</f>
        <v>63639.309143445134</v>
      </c>
      <c r="G63" s="160">
        <f>F63*40</f>
        <v>2545572.3657378051</v>
      </c>
      <c r="M63" s="8"/>
    </row>
    <row r="64" spans="1:28" x14ac:dyDescent="0.25">
      <c r="C64" s="17" t="s">
        <v>36</v>
      </c>
      <c r="D64" s="6"/>
      <c r="E64" s="6"/>
      <c r="F64" s="27">
        <f>FV(F59/12,F61*12,F62*-1,F58)*-1</f>
        <v>1124097.313825971</v>
      </c>
      <c r="G64" s="26"/>
    </row>
    <row r="65" spans="3:20" x14ac:dyDescent="0.25">
      <c r="M65" s="59"/>
      <c r="N65" s="59"/>
      <c r="O65" s="49"/>
      <c r="P65" s="60"/>
      <c r="R65" s="10"/>
    </row>
    <row r="66" spans="3:20" x14ac:dyDescent="0.25">
      <c r="C66" s="28"/>
      <c r="D66" s="29"/>
      <c r="E66" s="29"/>
      <c r="F66" s="30"/>
      <c r="G66" s="30" t="s">
        <v>26</v>
      </c>
      <c r="H66" s="30" t="s">
        <v>31</v>
      </c>
      <c r="I66" s="117" t="s">
        <v>34</v>
      </c>
      <c r="J66" s="118"/>
      <c r="K66" s="119" t="s">
        <v>33</v>
      </c>
      <c r="M66" s="8"/>
      <c r="N66" s="47"/>
      <c r="O66" s="48"/>
      <c r="P66" s="48"/>
      <c r="Q66" s="49"/>
      <c r="R66" s="47"/>
      <c r="S66" s="48"/>
      <c r="T66" s="48"/>
    </row>
    <row r="67" spans="3:20" x14ac:dyDescent="0.25">
      <c r="C67" s="31" t="s">
        <v>25</v>
      </c>
      <c r="D67" s="19" t="s">
        <v>26</v>
      </c>
      <c r="E67" s="19" t="s">
        <v>27</v>
      </c>
      <c r="F67" s="19" t="s">
        <v>28</v>
      </c>
      <c r="G67" s="19" t="s">
        <v>29</v>
      </c>
      <c r="H67" s="19" t="s">
        <v>30</v>
      </c>
      <c r="I67" s="120" t="s">
        <v>33</v>
      </c>
      <c r="J67" s="121"/>
      <c r="K67" s="122" t="s">
        <v>72</v>
      </c>
      <c r="M67" s="19"/>
      <c r="N67" s="39"/>
      <c r="O67" s="40"/>
    </row>
    <row r="68" spans="3:20" x14ac:dyDescent="0.25">
      <c r="C68" s="76">
        <v>40</v>
      </c>
      <c r="D68" s="8">
        <v>680</v>
      </c>
      <c r="E68" s="8">
        <v>187</v>
      </c>
      <c r="F68" s="20">
        <f>E68*D68</f>
        <v>127160</v>
      </c>
      <c r="G68" s="33">
        <f>F68/F71</f>
        <v>0.58238376140402304</v>
      </c>
      <c r="H68" s="35">
        <f>G68/E68</f>
        <v>3.1143516652621553E-3</v>
      </c>
      <c r="I68" s="123">
        <f>F58*H68</f>
        <v>6228.7033305243103</v>
      </c>
      <c r="J68" s="121"/>
      <c r="K68" s="124">
        <f>($F$62*12*$F$60)*H68</f>
        <v>7927.8075362808577</v>
      </c>
      <c r="M68" s="50"/>
      <c r="N68" s="51"/>
      <c r="O68" s="51"/>
      <c r="P68" s="58"/>
      <c r="Q68" s="9"/>
      <c r="R68" s="51"/>
      <c r="S68" s="51"/>
      <c r="T68" s="51"/>
    </row>
    <row r="69" spans="3:20" x14ac:dyDescent="0.25">
      <c r="C69" s="76">
        <v>60</v>
      </c>
      <c r="D69" s="8">
        <v>1200</v>
      </c>
      <c r="E69" s="8">
        <v>71</v>
      </c>
      <c r="F69" s="20">
        <f t="shared" ref="F69:F70" si="38">E69*D69</f>
        <v>85200</v>
      </c>
      <c r="G69" s="33">
        <f>F69/F71</f>
        <v>0.39020994394167002</v>
      </c>
      <c r="H69" s="35">
        <f>G69/E69</f>
        <v>5.4959147034038033E-3</v>
      </c>
      <c r="I69" s="123">
        <f>F58*H69</f>
        <v>10991.829406807607</v>
      </c>
      <c r="J69" s="121"/>
      <c r="K69" s="124">
        <f t="shared" ref="K69:K70" si="39">($F$62*12*$F$60)*H69</f>
        <v>13990.248593436807</v>
      </c>
      <c r="M69" s="50"/>
      <c r="N69" s="51"/>
      <c r="O69" s="51"/>
      <c r="P69" s="58"/>
      <c r="Q69" s="9"/>
      <c r="R69" s="51"/>
      <c r="S69" s="51"/>
      <c r="T69" s="51"/>
    </row>
    <row r="70" spans="3:20" x14ac:dyDescent="0.25">
      <c r="C70" s="76">
        <v>88</v>
      </c>
      <c r="D70" s="8">
        <v>1496</v>
      </c>
      <c r="E70" s="8">
        <v>4</v>
      </c>
      <c r="F70" s="20">
        <f t="shared" si="38"/>
        <v>5984</v>
      </c>
      <c r="G70" s="33">
        <f>F70/F71</f>
        <v>2.7406294654306964E-2</v>
      </c>
      <c r="H70" s="35">
        <f>G70/E70</f>
        <v>6.851573663576741E-3</v>
      </c>
      <c r="I70" s="123">
        <f>F58*H70</f>
        <v>13703.147327153481</v>
      </c>
      <c r="J70" s="121"/>
      <c r="K70" s="124">
        <f t="shared" si="39"/>
        <v>17441.176579817886</v>
      </c>
      <c r="M70" s="50"/>
      <c r="N70" s="52"/>
      <c r="O70" s="51"/>
      <c r="P70" s="52"/>
      <c r="Q70" s="9"/>
      <c r="R70" s="52"/>
      <c r="S70" s="52"/>
      <c r="T70" s="52"/>
    </row>
    <row r="71" spans="3:20" x14ac:dyDescent="0.25">
      <c r="C71" s="34"/>
      <c r="D71" s="6"/>
      <c r="E71" s="6"/>
      <c r="F71" s="6">
        <f>SUM(F68:F70)</f>
        <v>218344</v>
      </c>
      <c r="G71" s="21"/>
      <c r="H71" s="21"/>
      <c r="I71" s="125"/>
      <c r="J71" s="125"/>
      <c r="K71" s="126"/>
      <c r="M71" s="41"/>
      <c r="N71" s="37"/>
      <c r="O71" s="41"/>
    </row>
    <row r="72" spans="3:20" ht="15.75" thickBot="1" x14ac:dyDescent="0.3">
      <c r="M72" s="41"/>
      <c r="N72" s="37"/>
      <c r="O72" s="41"/>
    </row>
    <row r="73" spans="3:20" ht="15.75" thickBot="1" x14ac:dyDescent="0.3">
      <c r="C73" s="106" t="s">
        <v>58</v>
      </c>
      <c r="D73" s="65">
        <v>2015</v>
      </c>
      <c r="E73" s="54" t="s">
        <v>61</v>
      </c>
      <c r="F73" s="55" t="s">
        <v>4</v>
      </c>
      <c r="G73" s="55" t="s">
        <v>62</v>
      </c>
      <c r="H73" s="55">
        <v>2015</v>
      </c>
      <c r="I73" s="55" t="s">
        <v>64</v>
      </c>
      <c r="J73" s="84"/>
      <c r="K73" s="54" t="s">
        <v>63</v>
      </c>
      <c r="L73" s="84"/>
      <c r="M73" s="111" t="s">
        <v>81</v>
      </c>
      <c r="N73" s="127" t="s">
        <v>66</v>
      </c>
      <c r="O73" s="112" t="s">
        <v>82</v>
      </c>
    </row>
    <row r="74" spans="3:20" x14ac:dyDescent="0.25">
      <c r="C74" s="31" t="s">
        <v>25</v>
      </c>
      <c r="D74" s="66" t="s">
        <v>49</v>
      </c>
      <c r="E74" s="56" t="s">
        <v>3</v>
      </c>
      <c r="F74" s="83" t="s">
        <v>3</v>
      </c>
      <c r="G74" s="56" t="s">
        <v>3</v>
      </c>
      <c r="H74" s="56" t="s">
        <v>56</v>
      </c>
      <c r="I74" s="53" t="s">
        <v>55</v>
      </c>
      <c r="J74" s="15"/>
      <c r="K74" s="56" t="s">
        <v>3</v>
      </c>
      <c r="L74" s="15"/>
      <c r="M74" s="129" t="s">
        <v>49</v>
      </c>
      <c r="N74" s="129" t="s">
        <v>67</v>
      </c>
      <c r="O74" s="122" t="s">
        <v>67</v>
      </c>
    </row>
    <row r="75" spans="3:20" x14ac:dyDescent="0.25">
      <c r="C75" s="32">
        <v>40</v>
      </c>
      <c r="D75" s="62">
        <v>299</v>
      </c>
      <c r="E75" s="8">
        <f>D75*$E$78</f>
        <v>26.91</v>
      </c>
      <c r="F75" s="20">
        <f>D75*$F$78</f>
        <v>83.720000000000013</v>
      </c>
      <c r="G75" s="8">
        <f>D75*$G$78</f>
        <v>110.63</v>
      </c>
      <c r="H75" s="8">
        <f>D75*$H$78</f>
        <v>188.37</v>
      </c>
      <c r="I75" s="8">
        <v>100</v>
      </c>
      <c r="J75" s="15"/>
      <c r="K75" s="79">
        <f>I75+F75</f>
        <v>183.72000000000003</v>
      </c>
      <c r="L75" s="15"/>
      <c r="M75" s="123">
        <f>D75+I75</f>
        <v>399</v>
      </c>
      <c r="N75" s="123">
        <f>T45</f>
        <v>597.15233639368466</v>
      </c>
      <c r="O75" s="130">
        <f>T48/4</f>
        <v>497.15233639368478</v>
      </c>
    </row>
    <row r="76" spans="3:20" x14ac:dyDescent="0.25">
      <c r="C76" s="32">
        <v>60</v>
      </c>
      <c r="D76" s="62">
        <v>527</v>
      </c>
      <c r="E76" s="8">
        <f>D76*$E$78</f>
        <v>47.43</v>
      </c>
      <c r="F76" s="20">
        <f>D76*$F$78</f>
        <v>147.56</v>
      </c>
      <c r="G76" s="8">
        <f>D76*$G$78</f>
        <v>194.99</v>
      </c>
      <c r="H76" s="8">
        <f>D76*$H$78</f>
        <v>332.01</v>
      </c>
      <c r="I76" s="8">
        <f>D69*100/D68</f>
        <v>176.47058823529412</v>
      </c>
      <c r="J76" s="15"/>
      <c r="K76" s="79">
        <f>I76+F76</f>
        <v>324.03058823529409</v>
      </c>
      <c r="L76" s="15"/>
      <c r="M76" s="123">
        <f t="shared" ref="M76:M77" si="40">D76+I76</f>
        <v>703.47058823529414</v>
      </c>
      <c r="N76" s="123">
        <f>X45</f>
        <v>1053.3323583417964</v>
      </c>
      <c r="O76" s="130">
        <f>X48/4</f>
        <v>876.86177010650249</v>
      </c>
    </row>
    <row r="77" spans="3:20" x14ac:dyDescent="0.25">
      <c r="C77" s="32">
        <v>88</v>
      </c>
      <c r="D77" s="62">
        <v>657</v>
      </c>
      <c r="E77" s="8">
        <f>D77*$E$78</f>
        <v>59.129999999999995</v>
      </c>
      <c r="F77" s="20">
        <f>D77*$F$78</f>
        <v>183.96</v>
      </c>
      <c r="G77" s="8">
        <f>D77*$G$78</f>
        <v>243.09</v>
      </c>
      <c r="H77" s="8">
        <f>D77*$H$78</f>
        <v>413.91</v>
      </c>
      <c r="I77" s="8">
        <f>D70*100/D68</f>
        <v>220</v>
      </c>
      <c r="J77" s="15"/>
      <c r="K77" s="79">
        <f>I77+F77</f>
        <v>403.96000000000004</v>
      </c>
      <c r="L77" s="15"/>
      <c r="M77" s="123">
        <f t="shared" si="40"/>
        <v>877</v>
      </c>
      <c r="N77" s="123">
        <f>AB45</f>
        <v>1313.1591400661064</v>
      </c>
      <c r="O77" s="130">
        <f>AB48/4</f>
        <v>1093.1591400661064</v>
      </c>
    </row>
    <row r="78" spans="3:20" x14ac:dyDescent="0.25">
      <c r="C78" s="57"/>
      <c r="D78" s="80">
        <v>1</v>
      </c>
      <c r="E78" s="81">
        <v>0.09</v>
      </c>
      <c r="F78" s="81">
        <v>0.28000000000000003</v>
      </c>
      <c r="G78" s="78">
        <v>0.37</v>
      </c>
      <c r="H78" s="81">
        <v>0.63</v>
      </c>
      <c r="I78" s="15"/>
      <c r="J78" s="15"/>
      <c r="K78" s="8"/>
      <c r="L78" s="15"/>
      <c r="M78" s="132"/>
      <c r="N78" s="23"/>
      <c r="O78" s="133"/>
    </row>
    <row r="79" spans="3:20" x14ac:dyDescent="0.25">
      <c r="C79" s="61" t="s">
        <v>57</v>
      </c>
      <c r="D79" s="6">
        <f t="shared" ref="D79:I79" si="41">(D75*$E$68)+(D76*$E$69)+(D77*$E$70)</f>
        <v>95958</v>
      </c>
      <c r="E79" s="6">
        <f t="shared" si="41"/>
        <v>8636.2200000000012</v>
      </c>
      <c r="F79" s="6">
        <f t="shared" si="41"/>
        <v>26868.240000000002</v>
      </c>
      <c r="G79" s="6">
        <f t="shared" si="41"/>
        <v>35504.46</v>
      </c>
      <c r="H79" s="6">
        <f t="shared" si="41"/>
        <v>60453.54</v>
      </c>
      <c r="I79" s="6">
        <f t="shared" si="41"/>
        <v>32109.411764705881</v>
      </c>
      <c r="J79" s="21"/>
      <c r="K79" s="6">
        <f>(K75*$E$68)+(K76*$E$69)+(K77*$E$70)</f>
        <v>58977.651764705879</v>
      </c>
      <c r="L79" s="21"/>
      <c r="M79" s="100">
        <f>(M75*$E$68)+(M76*$E$69)+(M77*$E$70)</f>
        <v>128067.41176470587</v>
      </c>
      <c r="N79" s="100">
        <f>(N75*$E$68)+(N76*$E$69)+(N77*$E$70)</f>
        <v>191706.72090815101</v>
      </c>
      <c r="O79" s="101">
        <f>(O75*$E$68)+(O76*$E$69)+(O77*$E$70)</f>
        <v>159597.30914344513</v>
      </c>
    </row>
  </sheetData>
  <pageMargins left="0.25" right="0.25" top="0.75" bottom="0.75" header="0.3" footer="0.3"/>
  <pageSetup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7"/>
  <sheetViews>
    <sheetView topLeftCell="A43" workbookViewId="0">
      <selection activeCell="J57" sqref="J57"/>
    </sheetView>
  </sheetViews>
  <sheetFormatPr defaultRowHeight="15" x14ac:dyDescent="0.25"/>
  <cols>
    <col min="1" max="1" width="5.7109375" customWidth="1"/>
    <col min="2" max="2" width="5.5703125" customWidth="1"/>
    <col min="3" max="3" width="10.140625" customWidth="1"/>
    <col min="4" max="4" width="11.28515625" customWidth="1"/>
    <col min="5" max="5" width="10.42578125" customWidth="1"/>
    <col min="6" max="6" width="11" customWidth="1"/>
    <col min="7" max="7" width="10.28515625" customWidth="1"/>
    <col min="8" max="8" width="10.5703125" customWidth="1"/>
    <col min="10" max="10" width="1.7109375" customWidth="1"/>
    <col min="11" max="11" width="10.85546875" customWidth="1"/>
    <col min="12" max="12" width="1.85546875" customWidth="1"/>
    <col min="13" max="13" width="11.5703125" customWidth="1"/>
    <col min="14" max="14" width="11.28515625" customWidth="1"/>
    <col min="15" max="15" width="11.42578125" customWidth="1"/>
    <col min="16" max="16" width="10.85546875" customWidth="1"/>
    <col min="17" max="17" width="1.28515625" customWidth="1"/>
    <col min="21" max="21" width="1.5703125" customWidth="1"/>
    <col min="25" max="25" width="1.5703125" customWidth="1"/>
  </cols>
  <sheetData>
    <row r="1" spans="1:29" x14ac:dyDescent="0.25">
      <c r="B1" s="2"/>
      <c r="C1" s="4" t="s">
        <v>22</v>
      </c>
      <c r="D1" s="3"/>
      <c r="E1" s="3"/>
      <c r="H1" s="3"/>
      <c r="K1" s="3"/>
      <c r="M1" s="3"/>
      <c r="N1" s="3"/>
    </row>
    <row r="2" spans="1:29" x14ac:dyDescent="0.25">
      <c r="A2" s="49" t="s">
        <v>70</v>
      </c>
      <c r="B2" s="2"/>
      <c r="C2" s="2"/>
      <c r="D2" s="7">
        <v>42468</v>
      </c>
      <c r="E2" s="3"/>
      <c r="H2" s="3"/>
      <c r="K2" s="3"/>
      <c r="M2" s="3"/>
      <c r="N2" s="3"/>
    </row>
    <row r="3" spans="1:29" x14ac:dyDescent="0.25">
      <c r="B3" s="2"/>
      <c r="C3" s="2"/>
      <c r="D3" s="3"/>
      <c r="E3" s="3"/>
      <c r="H3" s="3"/>
      <c r="K3" s="3"/>
      <c r="M3" s="3"/>
      <c r="N3" s="3"/>
      <c r="R3" s="4" t="s">
        <v>51</v>
      </c>
      <c r="S3" s="4" t="s">
        <v>51</v>
      </c>
      <c r="T3" s="4" t="s">
        <v>51</v>
      </c>
      <c r="V3" s="4" t="s">
        <v>53</v>
      </c>
      <c r="W3" s="4" t="s">
        <v>53</v>
      </c>
      <c r="X3" s="4" t="s">
        <v>53</v>
      </c>
      <c r="Z3" s="4" t="s">
        <v>54</v>
      </c>
      <c r="AA3" s="4" t="s">
        <v>54</v>
      </c>
      <c r="AB3" s="4" t="s">
        <v>54</v>
      </c>
    </row>
    <row r="4" spans="1:29" x14ac:dyDescent="0.25">
      <c r="A4" s="4"/>
      <c r="B4" s="4"/>
      <c r="C4" s="4"/>
      <c r="D4" s="5"/>
      <c r="E4" s="5"/>
      <c r="F4" s="4" t="s">
        <v>40</v>
      </c>
      <c r="G4" s="4" t="s">
        <v>44</v>
      </c>
      <c r="H4" s="5"/>
      <c r="I4" s="4" t="s">
        <v>16</v>
      </c>
      <c r="J4" s="4"/>
      <c r="K4" s="5" t="s">
        <v>2</v>
      </c>
      <c r="L4" s="4"/>
      <c r="M4" s="5" t="s">
        <v>49</v>
      </c>
      <c r="N4" s="5" t="s">
        <v>4</v>
      </c>
      <c r="O4" s="4"/>
      <c r="P4" s="4" t="s">
        <v>4</v>
      </c>
      <c r="Q4" s="4"/>
      <c r="R4" s="4"/>
      <c r="S4" s="4" t="s">
        <v>61</v>
      </c>
      <c r="T4" s="4" t="s">
        <v>50</v>
      </c>
      <c r="U4" s="4"/>
      <c r="V4" s="4"/>
      <c r="W4" s="4" t="s">
        <v>61</v>
      </c>
      <c r="X4" s="4" t="s">
        <v>50</v>
      </c>
      <c r="Y4" s="4"/>
      <c r="Z4" s="4"/>
      <c r="AA4" s="4" t="s">
        <v>61</v>
      </c>
      <c r="AB4" s="4" t="s">
        <v>50</v>
      </c>
      <c r="AC4" s="4"/>
    </row>
    <row r="5" spans="1:29" x14ac:dyDescent="0.25">
      <c r="A5" s="4"/>
      <c r="B5" s="4"/>
      <c r="C5" s="4" t="s">
        <v>4</v>
      </c>
      <c r="D5" s="5" t="s">
        <v>18</v>
      </c>
      <c r="E5" s="5" t="s">
        <v>19</v>
      </c>
      <c r="F5" s="4" t="s">
        <v>60</v>
      </c>
      <c r="G5" s="4" t="s">
        <v>4</v>
      </c>
      <c r="H5" s="5" t="s">
        <v>16</v>
      </c>
      <c r="I5" s="5" t="s">
        <v>24</v>
      </c>
      <c r="J5" s="5"/>
      <c r="K5" s="5" t="s">
        <v>3</v>
      </c>
      <c r="L5" s="4"/>
      <c r="M5" s="5" t="s">
        <v>3</v>
      </c>
      <c r="N5" s="5" t="s">
        <v>5</v>
      </c>
      <c r="O5" s="4" t="s">
        <v>34</v>
      </c>
      <c r="P5" s="4" t="s">
        <v>48</v>
      </c>
      <c r="Q5" s="4"/>
      <c r="R5" s="4"/>
      <c r="S5" s="4" t="s">
        <v>65</v>
      </c>
      <c r="T5" s="4" t="s">
        <v>48</v>
      </c>
      <c r="U5" s="4"/>
      <c r="V5" s="4"/>
      <c r="W5" s="4" t="s">
        <v>65</v>
      </c>
      <c r="X5" s="4" t="s">
        <v>48</v>
      </c>
      <c r="Y5" s="4"/>
      <c r="Z5" s="4"/>
      <c r="AA5" s="4" t="s">
        <v>65</v>
      </c>
      <c r="AB5" s="4" t="s">
        <v>48</v>
      </c>
      <c r="AC5" s="4"/>
    </row>
    <row r="6" spans="1:29" x14ac:dyDescent="0.25">
      <c r="A6" s="4" t="s">
        <v>1</v>
      </c>
      <c r="B6" s="4" t="s">
        <v>0</v>
      </c>
      <c r="C6" s="4" t="s">
        <v>7</v>
      </c>
      <c r="D6" s="4" t="s">
        <v>59</v>
      </c>
      <c r="E6" s="4" t="s">
        <v>59</v>
      </c>
      <c r="F6" s="5" t="s">
        <v>41</v>
      </c>
      <c r="G6" s="4" t="s">
        <v>45</v>
      </c>
      <c r="H6" s="5" t="s">
        <v>17</v>
      </c>
      <c r="I6" s="4" t="s">
        <v>32</v>
      </c>
      <c r="J6" s="4"/>
      <c r="K6" s="5" t="s">
        <v>6</v>
      </c>
      <c r="L6" s="4"/>
      <c r="M6" s="5" t="s">
        <v>20</v>
      </c>
      <c r="N6" s="4" t="s">
        <v>20</v>
      </c>
      <c r="O6" s="4" t="s">
        <v>46</v>
      </c>
      <c r="P6" s="4" t="s">
        <v>44</v>
      </c>
      <c r="Q6" s="4"/>
      <c r="R6" s="4" t="s">
        <v>4</v>
      </c>
      <c r="S6" s="4" t="s">
        <v>52</v>
      </c>
      <c r="T6" s="4" t="s">
        <v>44</v>
      </c>
      <c r="U6" s="4"/>
      <c r="V6" s="4" t="s">
        <v>4</v>
      </c>
      <c r="W6" s="4" t="s">
        <v>52</v>
      </c>
      <c r="X6" s="4" t="s">
        <v>44</v>
      </c>
      <c r="Y6" s="4"/>
      <c r="Z6" s="4" t="s">
        <v>4</v>
      </c>
      <c r="AA6" s="4" t="s">
        <v>52</v>
      </c>
      <c r="AB6" s="4" t="s">
        <v>44</v>
      </c>
      <c r="AC6" s="4"/>
    </row>
    <row r="7" spans="1:29" x14ac:dyDescent="0.25">
      <c r="B7" s="2"/>
      <c r="C7" s="2"/>
      <c r="D7" s="3"/>
      <c r="E7" s="3"/>
      <c r="F7" s="3"/>
      <c r="H7" s="3"/>
      <c r="I7" s="22"/>
      <c r="J7" s="22"/>
      <c r="K7" s="3"/>
      <c r="M7" s="3"/>
      <c r="N7" s="3"/>
    </row>
    <row r="8" spans="1:29" x14ac:dyDescent="0.25">
      <c r="B8" s="2"/>
      <c r="C8" s="2"/>
      <c r="D8" s="3"/>
      <c r="E8" s="3"/>
      <c r="F8" s="3"/>
      <c r="H8" s="3"/>
      <c r="I8" s="3"/>
      <c r="J8" s="3"/>
      <c r="K8" s="3">
        <v>471380</v>
      </c>
      <c r="M8" s="3"/>
      <c r="N8" s="3"/>
      <c r="S8" s="9"/>
    </row>
    <row r="9" spans="1:29" x14ac:dyDescent="0.25">
      <c r="A9">
        <v>2015</v>
      </c>
      <c r="B9" s="2">
        <v>4</v>
      </c>
      <c r="C9" s="2"/>
      <c r="D9" s="3">
        <v>65000</v>
      </c>
      <c r="E9" s="3"/>
      <c r="F9" s="3">
        <v>20000</v>
      </c>
      <c r="G9" s="10">
        <f>SUM(D9:F9)</f>
        <v>85000</v>
      </c>
      <c r="H9" s="3"/>
      <c r="I9" s="3"/>
      <c r="J9" s="3"/>
      <c r="K9" s="3">
        <f>K8-G9-I9+H9+SUM(M9:N9)</f>
        <v>413248.24</v>
      </c>
      <c r="M9" s="3">
        <f>$F$77</f>
        <v>26868.240000000002</v>
      </c>
      <c r="N9" s="3"/>
      <c r="P9" s="10">
        <f>SUM(M9:O9)</f>
        <v>26868.240000000002</v>
      </c>
      <c r="Q9" s="10"/>
      <c r="R9" s="10">
        <f>F73</f>
        <v>83.720000000000013</v>
      </c>
      <c r="S9" s="10">
        <f>$H$73+$E$73</f>
        <v>215.28</v>
      </c>
      <c r="T9" s="70">
        <f>SUM(R9:S9)</f>
        <v>299</v>
      </c>
      <c r="V9" s="42">
        <f>F74</f>
        <v>147.56</v>
      </c>
      <c r="W9" s="10">
        <f>$H$74+$E$74</f>
        <v>379.44</v>
      </c>
      <c r="X9" s="74">
        <v>527</v>
      </c>
      <c r="Z9" s="42">
        <f>F75</f>
        <v>183.96</v>
      </c>
      <c r="AA9" s="10">
        <f>$H$75+$E$75</f>
        <v>473.04</v>
      </c>
      <c r="AB9" s="73">
        <v>657</v>
      </c>
    </row>
    <row r="10" spans="1:29" x14ac:dyDescent="0.25">
      <c r="A10" s="1">
        <v>2016</v>
      </c>
      <c r="B10" s="2">
        <v>1</v>
      </c>
      <c r="C10" s="2"/>
      <c r="D10" s="3"/>
      <c r="E10" s="3"/>
      <c r="F10" s="3"/>
      <c r="G10" s="10">
        <f t="shared" ref="G10:G41" si="0">SUM(D10:F10)</f>
        <v>0</v>
      </c>
      <c r="H10" s="3"/>
      <c r="K10" s="3">
        <f t="shared" ref="K10:K39" si="1">K9-G10-I10+H10+SUM(M10:N10)</f>
        <v>472225.89176470588</v>
      </c>
      <c r="M10" s="3">
        <f t="shared" ref="M10:M45" si="2">$F$77</f>
        <v>26868.240000000002</v>
      </c>
      <c r="N10" s="3">
        <f t="shared" ref="N10:N45" si="3">$I$77</f>
        <v>32109.411764705881</v>
      </c>
      <c r="P10" s="10">
        <f t="shared" ref="P10:P45" si="4">SUM(M10:O10)</f>
        <v>58977.651764705879</v>
      </c>
      <c r="Q10" s="10"/>
      <c r="R10" s="10">
        <f t="shared" ref="R10:R45" si="5">$H$66*P10</f>
        <v>183.67714798666324</v>
      </c>
      <c r="S10" s="10">
        <f>$H$73+$E$73</f>
        <v>215.28</v>
      </c>
      <c r="T10" s="70">
        <f t="shared" ref="T10:T45" si="6">SUM(R10:S10)</f>
        <v>398.95714798666324</v>
      </c>
      <c r="V10" s="42">
        <f t="shared" ref="V10:V45" si="7">$H$67*P10</f>
        <v>324.1361435058763</v>
      </c>
      <c r="W10" s="10">
        <f t="shared" ref="W10:W45" si="8">$H$74+$E$74</f>
        <v>379.44</v>
      </c>
      <c r="X10" s="74">
        <f t="shared" ref="X10:X45" si="9">SUM(V10:W10)</f>
        <v>703.5761435058763</v>
      </c>
      <c r="Z10" s="42">
        <f t="shared" ref="Z10:Z45" si="10">$H$68*P10</f>
        <v>404.08972557065908</v>
      </c>
      <c r="AA10" s="10">
        <f t="shared" ref="AA10:AA45" si="11">$H$75+$E$75</f>
        <v>473.04</v>
      </c>
      <c r="AB10" s="74">
        <f>SUM(Z10:AA10)</f>
        <v>877.12972557065905</v>
      </c>
    </row>
    <row r="11" spans="1:29" x14ac:dyDescent="0.25">
      <c r="A11" s="1">
        <v>2016</v>
      </c>
      <c r="B11" s="2">
        <v>2</v>
      </c>
      <c r="C11" s="2" t="s">
        <v>8</v>
      </c>
      <c r="D11" s="3"/>
      <c r="E11" s="3">
        <v>319000</v>
      </c>
      <c r="F11" s="3"/>
      <c r="G11" s="10">
        <f t="shared" si="0"/>
        <v>319000</v>
      </c>
      <c r="H11" s="3">
        <v>150000</v>
      </c>
      <c r="K11" s="3">
        <f t="shared" si="1"/>
        <v>362203.54352941178</v>
      </c>
      <c r="M11" s="3">
        <f t="shared" si="2"/>
        <v>26868.240000000002</v>
      </c>
      <c r="N11" s="3">
        <f t="shared" si="3"/>
        <v>32109.411764705881</v>
      </c>
      <c r="P11" s="10">
        <f t="shared" si="4"/>
        <v>58977.651764705879</v>
      </c>
      <c r="Q11" s="10"/>
      <c r="R11" s="10">
        <f t="shared" si="5"/>
        <v>183.67714798666324</v>
      </c>
      <c r="S11" s="10">
        <f t="shared" ref="S11:S45" si="12">$H$73+$E$73</f>
        <v>215.28</v>
      </c>
      <c r="T11" s="70">
        <f t="shared" si="6"/>
        <v>398.95714798666324</v>
      </c>
      <c r="V11" s="42">
        <f t="shared" si="7"/>
        <v>324.1361435058763</v>
      </c>
      <c r="W11" s="10">
        <f t="shared" si="8"/>
        <v>379.44</v>
      </c>
      <c r="X11" s="74">
        <f t="shared" si="9"/>
        <v>703.5761435058763</v>
      </c>
      <c r="Z11" s="42">
        <f t="shared" si="10"/>
        <v>404.08972557065908</v>
      </c>
      <c r="AA11" s="10">
        <f t="shared" si="11"/>
        <v>473.04</v>
      </c>
      <c r="AB11" s="74">
        <f t="shared" ref="AB11:AB45" si="13">SUM(Z11:AA11)</f>
        <v>877.12972557065905</v>
      </c>
    </row>
    <row r="12" spans="1:29" x14ac:dyDescent="0.25">
      <c r="A12" s="1">
        <v>2016</v>
      </c>
      <c r="B12" s="2">
        <v>3</v>
      </c>
      <c r="C12" s="2"/>
      <c r="D12" s="3"/>
      <c r="E12" s="3"/>
      <c r="F12" s="3"/>
      <c r="G12" s="10">
        <f t="shared" si="0"/>
        <v>0</v>
      </c>
      <c r="H12" s="3"/>
      <c r="K12" s="3">
        <f t="shared" si="1"/>
        <v>421181.19529411767</v>
      </c>
      <c r="M12" s="3">
        <f t="shared" si="2"/>
        <v>26868.240000000002</v>
      </c>
      <c r="N12" s="3">
        <f t="shared" si="3"/>
        <v>32109.411764705881</v>
      </c>
      <c r="P12" s="10">
        <f t="shared" si="4"/>
        <v>58977.651764705879</v>
      </c>
      <c r="Q12" s="10"/>
      <c r="R12" s="10">
        <f t="shared" si="5"/>
        <v>183.67714798666324</v>
      </c>
      <c r="S12" s="10">
        <f t="shared" si="12"/>
        <v>215.28</v>
      </c>
      <c r="T12" s="70">
        <f t="shared" si="6"/>
        <v>398.95714798666324</v>
      </c>
      <c r="V12" s="42">
        <f t="shared" si="7"/>
        <v>324.1361435058763</v>
      </c>
      <c r="W12" s="10">
        <f t="shared" si="8"/>
        <v>379.44</v>
      </c>
      <c r="X12" s="74">
        <f t="shared" si="9"/>
        <v>703.5761435058763</v>
      </c>
      <c r="Z12" s="42">
        <f t="shared" si="10"/>
        <v>404.08972557065908</v>
      </c>
      <c r="AA12" s="10">
        <f t="shared" si="11"/>
        <v>473.04</v>
      </c>
      <c r="AB12" s="74">
        <f t="shared" si="13"/>
        <v>877.12972557065905</v>
      </c>
    </row>
    <row r="13" spans="1:29" x14ac:dyDescent="0.25">
      <c r="A13" s="1">
        <v>2016</v>
      </c>
      <c r="B13" s="2">
        <v>4</v>
      </c>
      <c r="C13" s="2"/>
      <c r="D13" s="3">
        <v>108000</v>
      </c>
      <c r="E13" s="3"/>
      <c r="F13" s="3">
        <v>25000</v>
      </c>
      <c r="G13" s="10">
        <f t="shared" si="0"/>
        <v>133000</v>
      </c>
      <c r="H13" s="3"/>
      <c r="K13" s="3">
        <f t="shared" si="1"/>
        <v>347158.84705882357</v>
      </c>
      <c r="M13" s="3">
        <f t="shared" si="2"/>
        <v>26868.240000000002</v>
      </c>
      <c r="N13" s="3">
        <f t="shared" si="3"/>
        <v>32109.411764705881</v>
      </c>
      <c r="P13" s="10">
        <f t="shared" si="4"/>
        <v>58977.651764705879</v>
      </c>
      <c r="Q13" s="10"/>
      <c r="R13" s="10">
        <f t="shared" si="5"/>
        <v>183.67714798666324</v>
      </c>
      <c r="S13" s="10">
        <f t="shared" si="12"/>
        <v>215.28</v>
      </c>
      <c r="T13" s="70">
        <f t="shared" si="6"/>
        <v>398.95714798666324</v>
      </c>
      <c r="V13" s="42">
        <f t="shared" si="7"/>
        <v>324.1361435058763</v>
      </c>
      <c r="W13" s="10">
        <f t="shared" si="8"/>
        <v>379.44</v>
      </c>
      <c r="X13" s="74">
        <f t="shared" si="9"/>
        <v>703.5761435058763</v>
      </c>
      <c r="Z13" s="42">
        <f t="shared" si="10"/>
        <v>404.08972557065908</v>
      </c>
      <c r="AA13" s="10">
        <f t="shared" si="11"/>
        <v>473.04</v>
      </c>
      <c r="AB13" s="74">
        <f t="shared" si="13"/>
        <v>877.12972557065905</v>
      </c>
    </row>
    <row r="14" spans="1:29" x14ac:dyDescent="0.25">
      <c r="A14">
        <v>2017</v>
      </c>
      <c r="B14" s="2">
        <v>1</v>
      </c>
      <c r="C14" s="2"/>
      <c r="D14" s="3"/>
      <c r="E14" s="3"/>
      <c r="F14" s="3"/>
      <c r="G14" s="10">
        <f t="shared" si="0"/>
        <v>0</v>
      </c>
      <c r="H14" s="3"/>
      <c r="K14" s="3">
        <f t="shared" si="1"/>
        <v>406136.49882352946</v>
      </c>
      <c r="M14" s="3">
        <f t="shared" si="2"/>
        <v>26868.240000000002</v>
      </c>
      <c r="N14" s="3">
        <f t="shared" si="3"/>
        <v>32109.411764705881</v>
      </c>
      <c r="P14" s="10">
        <f t="shared" si="4"/>
        <v>58977.651764705879</v>
      </c>
      <c r="Q14" s="10"/>
      <c r="R14" s="10">
        <f t="shared" si="5"/>
        <v>183.67714798666324</v>
      </c>
      <c r="S14" s="10">
        <f t="shared" si="12"/>
        <v>215.28</v>
      </c>
      <c r="T14" s="70">
        <f t="shared" si="6"/>
        <v>398.95714798666324</v>
      </c>
      <c r="V14" s="42">
        <f t="shared" si="7"/>
        <v>324.1361435058763</v>
      </c>
      <c r="W14" s="10">
        <f t="shared" si="8"/>
        <v>379.44</v>
      </c>
      <c r="X14" s="74">
        <f t="shared" si="9"/>
        <v>703.5761435058763</v>
      </c>
      <c r="Z14" s="42">
        <f t="shared" si="10"/>
        <v>404.08972557065908</v>
      </c>
      <c r="AA14" s="10">
        <f t="shared" si="11"/>
        <v>473.04</v>
      </c>
      <c r="AB14" s="74">
        <f t="shared" si="13"/>
        <v>877.12972557065905</v>
      </c>
    </row>
    <row r="15" spans="1:29" x14ac:dyDescent="0.25">
      <c r="A15">
        <v>2017</v>
      </c>
      <c r="B15" s="2">
        <v>2</v>
      </c>
      <c r="C15" s="2" t="s">
        <v>9</v>
      </c>
      <c r="D15" s="3">
        <v>77000</v>
      </c>
      <c r="E15" s="3">
        <v>428000</v>
      </c>
      <c r="F15" s="3"/>
      <c r="G15" s="10">
        <f t="shared" si="0"/>
        <v>505000</v>
      </c>
      <c r="H15" s="3">
        <v>200000</v>
      </c>
      <c r="K15" s="3">
        <f t="shared" si="1"/>
        <v>160114.15058823535</v>
      </c>
      <c r="M15" s="3">
        <f t="shared" si="2"/>
        <v>26868.240000000002</v>
      </c>
      <c r="N15" s="3">
        <f t="shared" si="3"/>
        <v>32109.411764705881</v>
      </c>
      <c r="P15" s="10">
        <f t="shared" si="4"/>
        <v>58977.651764705879</v>
      </c>
      <c r="Q15" s="10"/>
      <c r="R15" s="10">
        <f t="shared" si="5"/>
        <v>183.67714798666324</v>
      </c>
      <c r="S15" s="10">
        <f t="shared" si="12"/>
        <v>215.28</v>
      </c>
      <c r="T15" s="70">
        <f t="shared" si="6"/>
        <v>398.95714798666324</v>
      </c>
      <c r="V15" s="42">
        <f t="shared" si="7"/>
        <v>324.1361435058763</v>
      </c>
      <c r="W15" s="10">
        <f t="shared" si="8"/>
        <v>379.44</v>
      </c>
      <c r="X15" s="74">
        <f t="shared" si="9"/>
        <v>703.5761435058763</v>
      </c>
      <c r="Z15" s="42">
        <f t="shared" si="10"/>
        <v>404.08972557065908</v>
      </c>
      <c r="AA15" s="10">
        <f t="shared" si="11"/>
        <v>473.04</v>
      </c>
      <c r="AB15" s="74">
        <f t="shared" si="13"/>
        <v>877.12972557065905</v>
      </c>
    </row>
    <row r="16" spans="1:29" x14ac:dyDescent="0.25">
      <c r="A16">
        <v>2017</v>
      </c>
      <c r="B16" s="2">
        <v>3</v>
      </c>
      <c r="C16" s="2"/>
      <c r="D16" s="3"/>
      <c r="E16" s="3"/>
      <c r="F16" s="3"/>
      <c r="G16" s="10">
        <f t="shared" si="0"/>
        <v>0</v>
      </c>
      <c r="H16" s="3"/>
      <c r="I16" s="10">
        <f>$F$57/4*H15</f>
        <v>2500</v>
      </c>
      <c r="J16" s="9"/>
      <c r="K16" s="3">
        <f t="shared" si="1"/>
        <v>216591.80235294125</v>
      </c>
      <c r="M16" s="3">
        <f t="shared" si="2"/>
        <v>26868.240000000002</v>
      </c>
      <c r="N16" s="3">
        <f t="shared" si="3"/>
        <v>32109.411764705881</v>
      </c>
      <c r="P16" s="10">
        <f t="shared" si="4"/>
        <v>58977.651764705879</v>
      </c>
      <c r="Q16" s="10"/>
      <c r="R16" s="10">
        <f t="shared" si="5"/>
        <v>183.67714798666324</v>
      </c>
      <c r="S16" s="10">
        <f t="shared" si="12"/>
        <v>215.28</v>
      </c>
      <c r="T16" s="70">
        <f t="shared" si="6"/>
        <v>398.95714798666324</v>
      </c>
      <c r="V16" s="42">
        <f t="shared" si="7"/>
        <v>324.1361435058763</v>
      </c>
      <c r="W16" s="10">
        <f t="shared" si="8"/>
        <v>379.44</v>
      </c>
      <c r="X16" s="74">
        <f t="shared" si="9"/>
        <v>703.5761435058763</v>
      </c>
      <c r="Z16" s="42">
        <f t="shared" si="10"/>
        <v>404.08972557065908</v>
      </c>
      <c r="AA16" s="10">
        <f t="shared" si="11"/>
        <v>473.04</v>
      </c>
      <c r="AB16" s="74">
        <f t="shared" si="13"/>
        <v>877.12972557065905</v>
      </c>
    </row>
    <row r="17" spans="1:28" x14ac:dyDescent="0.25">
      <c r="A17">
        <v>2017</v>
      </c>
      <c r="B17" s="2">
        <v>4</v>
      </c>
      <c r="C17" s="2" t="s">
        <v>15</v>
      </c>
      <c r="D17" s="3">
        <v>146000</v>
      </c>
      <c r="E17" s="3">
        <v>307000</v>
      </c>
      <c r="F17" s="3">
        <v>25000</v>
      </c>
      <c r="G17" s="10">
        <f t="shared" si="0"/>
        <v>478000</v>
      </c>
      <c r="H17" s="3">
        <v>350000</v>
      </c>
      <c r="I17" s="10">
        <f>SUM(H14:H17)*$F$57/4</f>
        <v>6875</v>
      </c>
      <c r="J17" s="9"/>
      <c r="K17" s="3">
        <f t="shared" si="1"/>
        <v>140694.45411764714</v>
      </c>
      <c r="M17" s="3">
        <f t="shared" si="2"/>
        <v>26868.240000000002</v>
      </c>
      <c r="N17" s="3">
        <f t="shared" si="3"/>
        <v>32109.411764705881</v>
      </c>
      <c r="P17" s="10">
        <f t="shared" si="4"/>
        <v>58977.651764705879</v>
      </c>
      <c r="Q17" s="10"/>
      <c r="R17" s="10">
        <f t="shared" si="5"/>
        <v>183.67714798666324</v>
      </c>
      <c r="S17" s="10">
        <f t="shared" si="12"/>
        <v>215.28</v>
      </c>
      <c r="T17" s="70">
        <f t="shared" si="6"/>
        <v>398.95714798666324</v>
      </c>
      <c r="V17" s="42">
        <f t="shared" si="7"/>
        <v>324.1361435058763</v>
      </c>
      <c r="W17" s="10">
        <f t="shared" si="8"/>
        <v>379.44</v>
      </c>
      <c r="X17" s="74">
        <f t="shared" si="9"/>
        <v>703.5761435058763</v>
      </c>
      <c r="Z17" s="42">
        <f t="shared" si="10"/>
        <v>404.08972557065908</v>
      </c>
      <c r="AA17" s="10">
        <f t="shared" si="11"/>
        <v>473.04</v>
      </c>
      <c r="AB17" s="74">
        <f t="shared" si="13"/>
        <v>877.12972557065905</v>
      </c>
    </row>
    <row r="18" spans="1:28" x14ac:dyDescent="0.25">
      <c r="A18">
        <v>2018</v>
      </c>
      <c r="B18" s="2">
        <v>1</v>
      </c>
      <c r="C18" s="2"/>
      <c r="D18" s="3"/>
      <c r="E18" s="3"/>
      <c r="F18" s="3"/>
      <c r="G18" s="10">
        <f t="shared" si="0"/>
        <v>0</v>
      </c>
      <c r="H18" s="3"/>
      <c r="I18" s="10">
        <f>SUM(H15:H18)*$F$57/4</f>
        <v>6875</v>
      </c>
      <c r="J18" s="9"/>
      <c r="K18" s="3">
        <f t="shared" si="1"/>
        <v>192797.10588235303</v>
      </c>
      <c r="M18" s="3">
        <f t="shared" si="2"/>
        <v>26868.240000000002</v>
      </c>
      <c r="N18" s="3">
        <f t="shared" si="3"/>
        <v>32109.411764705881</v>
      </c>
      <c r="P18" s="10">
        <f t="shared" si="4"/>
        <v>58977.651764705879</v>
      </c>
      <c r="Q18" s="10"/>
      <c r="R18" s="10">
        <f t="shared" si="5"/>
        <v>183.67714798666324</v>
      </c>
      <c r="S18" s="10">
        <f t="shared" si="12"/>
        <v>215.28</v>
      </c>
      <c r="T18" s="70">
        <f t="shared" si="6"/>
        <v>398.95714798666324</v>
      </c>
      <c r="V18" s="42">
        <f t="shared" si="7"/>
        <v>324.1361435058763</v>
      </c>
      <c r="W18" s="10">
        <f t="shared" si="8"/>
        <v>379.44</v>
      </c>
      <c r="X18" s="74">
        <f t="shared" si="9"/>
        <v>703.5761435058763</v>
      </c>
      <c r="Z18" s="42">
        <f t="shared" si="10"/>
        <v>404.08972557065908</v>
      </c>
      <c r="AA18" s="10">
        <f t="shared" si="11"/>
        <v>473.04</v>
      </c>
      <c r="AB18" s="74">
        <f t="shared" si="13"/>
        <v>877.12972557065905</v>
      </c>
    </row>
    <row r="19" spans="1:28" x14ac:dyDescent="0.25">
      <c r="A19">
        <v>2018</v>
      </c>
      <c r="B19" s="2">
        <v>2</v>
      </c>
      <c r="C19" s="2" t="s">
        <v>68</v>
      </c>
      <c r="D19" s="3">
        <v>136000</v>
      </c>
      <c r="E19" s="3">
        <v>596000</v>
      </c>
      <c r="F19" s="3"/>
      <c r="G19" s="10">
        <f t="shared" si="0"/>
        <v>732000</v>
      </c>
      <c r="H19" s="3">
        <v>600000</v>
      </c>
      <c r="I19" s="10">
        <f>SUM(H15:H19)*$F$57/4</f>
        <v>14375</v>
      </c>
      <c r="J19" s="9"/>
      <c r="K19" s="3">
        <f t="shared" si="1"/>
        <v>105399.75764705891</v>
      </c>
      <c r="M19" s="3">
        <f t="shared" si="2"/>
        <v>26868.240000000002</v>
      </c>
      <c r="N19" s="3">
        <f t="shared" si="3"/>
        <v>32109.411764705881</v>
      </c>
      <c r="P19" s="10">
        <f t="shared" si="4"/>
        <v>58977.651764705879</v>
      </c>
      <c r="Q19" s="10"/>
      <c r="R19" s="10">
        <f t="shared" si="5"/>
        <v>183.67714798666324</v>
      </c>
      <c r="S19" s="10">
        <f t="shared" si="12"/>
        <v>215.28</v>
      </c>
      <c r="T19" s="70">
        <f t="shared" si="6"/>
        <v>398.95714798666324</v>
      </c>
      <c r="V19" s="42">
        <f t="shared" si="7"/>
        <v>324.1361435058763</v>
      </c>
      <c r="W19" s="10">
        <f t="shared" si="8"/>
        <v>379.44</v>
      </c>
      <c r="X19" s="74">
        <f t="shared" si="9"/>
        <v>703.5761435058763</v>
      </c>
      <c r="Z19" s="42">
        <f t="shared" si="10"/>
        <v>404.08972557065908</v>
      </c>
      <c r="AA19" s="10">
        <f t="shared" si="11"/>
        <v>473.04</v>
      </c>
      <c r="AB19" s="74">
        <f t="shared" si="13"/>
        <v>877.12972557065905</v>
      </c>
    </row>
    <row r="20" spans="1:28" x14ac:dyDescent="0.25">
      <c r="A20">
        <v>2018</v>
      </c>
      <c r="B20" s="2">
        <v>3</v>
      </c>
      <c r="C20" s="2"/>
      <c r="D20" s="3"/>
      <c r="E20" s="3"/>
      <c r="F20" s="3"/>
      <c r="G20" s="10">
        <f t="shared" si="0"/>
        <v>0</v>
      </c>
      <c r="H20" s="3"/>
      <c r="I20" s="10">
        <f>SUM(H15:H20)*$F$57/4</f>
        <v>14375</v>
      </c>
      <c r="J20" s="9"/>
      <c r="K20" s="3">
        <f t="shared" si="1"/>
        <v>150002.40941176479</v>
      </c>
      <c r="M20" s="3">
        <f t="shared" si="2"/>
        <v>26868.240000000002</v>
      </c>
      <c r="N20" s="3">
        <f t="shared" si="3"/>
        <v>32109.411764705881</v>
      </c>
      <c r="P20" s="10">
        <f t="shared" si="4"/>
        <v>58977.651764705879</v>
      </c>
      <c r="Q20" s="10"/>
      <c r="R20" s="10">
        <f t="shared" si="5"/>
        <v>183.67714798666324</v>
      </c>
      <c r="S20" s="10">
        <f t="shared" si="12"/>
        <v>215.28</v>
      </c>
      <c r="T20" s="70">
        <f t="shared" si="6"/>
        <v>398.95714798666324</v>
      </c>
      <c r="V20" s="42">
        <f t="shared" si="7"/>
        <v>324.1361435058763</v>
      </c>
      <c r="W20" s="10">
        <f t="shared" si="8"/>
        <v>379.44</v>
      </c>
      <c r="X20" s="74">
        <f t="shared" si="9"/>
        <v>703.5761435058763</v>
      </c>
      <c r="Z20" s="42">
        <f t="shared" si="10"/>
        <v>404.08972557065908</v>
      </c>
      <c r="AA20" s="10">
        <f t="shared" si="11"/>
        <v>473.04</v>
      </c>
      <c r="AB20" s="74">
        <f t="shared" si="13"/>
        <v>877.12972557065905</v>
      </c>
    </row>
    <row r="21" spans="1:28" x14ac:dyDescent="0.25">
      <c r="A21">
        <v>2018</v>
      </c>
      <c r="B21" s="2">
        <v>4</v>
      </c>
      <c r="C21" s="2" t="s">
        <v>10</v>
      </c>
      <c r="D21" s="3">
        <v>90000</v>
      </c>
      <c r="E21" s="3">
        <v>544000</v>
      </c>
      <c r="F21" s="3">
        <v>25000</v>
      </c>
      <c r="G21" s="10">
        <f t="shared" si="0"/>
        <v>659000</v>
      </c>
      <c r="H21" s="3">
        <v>800000</v>
      </c>
      <c r="I21" s="10">
        <f>SUM(H15:H21)*$F$57/4</f>
        <v>24375</v>
      </c>
      <c r="J21" s="9"/>
      <c r="K21" s="3">
        <f t="shared" si="1"/>
        <v>325605.06117647071</v>
      </c>
      <c r="M21" s="3">
        <f t="shared" si="2"/>
        <v>26868.240000000002</v>
      </c>
      <c r="N21" s="3">
        <f t="shared" si="3"/>
        <v>32109.411764705881</v>
      </c>
      <c r="P21" s="10">
        <f t="shared" si="4"/>
        <v>58977.651764705879</v>
      </c>
      <c r="Q21" s="10"/>
      <c r="R21" s="10">
        <f t="shared" si="5"/>
        <v>183.67714798666324</v>
      </c>
      <c r="S21" s="10">
        <f t="shared" si="12"/>
        <v>215.28</v>
      </c>
      <c r="T21" s="70">
        <f t="shared" si="6"/>
        <v>398.95714798666324</v>
      </c>
      <c r="V21" s="42">
        <f t="shared" si="7"/>
        <v>324.1361435058763</v>
      </c>
      <c r="W21" s="10">
        <f t="shared" si="8"/>
        <v>379.44</v>
      </c>
      <c r="X21" s="74">
        <f t="shared" si="9"/>
        <v>703.5761435058763</v>
      </c>
      <c r="Z21" s="42">
        <f t="shared" si="10"/>
        <v>404.08972557065908</v>
      </c>
      <c r="AA21" s="10">
        <f t="shared" si="11"/>
        <v>473.04</v>
      </c>
      <c r="AB21" s="74">
        <f t="shared" si="13"/>
        <v>877.12972557065905</v>
      </c>
    </row>
    <row r="22" spans="1:28" x14ac:dyDescent="0.25">
      <c r="A22">
        <v>2019</v>
      </c>
      <c r="B22" s="2">
        <v>1</v>
      </c>
      <c r="C22" s="2"/>
      <c r="D22" s="3"/>
      <c r="E22" s="3"/>
      <c r="F22" s="3"/>
      <c r="G22" s="10">
        <f t="shared" si="0"/>
        <v>0</v>
      </c>
      <c r="H22" s="3"/>
      <c r="I22" s="10">
        <v>0</v>
      </c>
      <c r="J22" s="9"/>
      <c r="K22" s="3">
        <f t="shared" si="1"/>
        <v>384582.71294117661</v>
      </c>
      <c r="M22" s="3">
        <f t="shared" si="2"/>
        <v>26868.240000000002</v>
      </c>
      <c r="N22" s="3">
        <f t="shared" si="3"/>
        <v>32109.411764705881</v>
      </c>
      <c r="O22" s="10">
        <f t="shared" ref="O22:O28" si="14">$F$61</f>
        <v>66821.274600617398</v>
      </c>
      <c r="P22" s="10">
        <f t="shared" si="4"/>
        <v>125798.92636532328</v>
      </c>
      <c r="Q22" s="10"/>
      <c r="R22" s="10">
        <f t="shared" si="5"/>
        <v>391.78209581403581</v>
      </c>
      <c r="S22" s="10">
        <f t="shared" si="12"/>
        <v>215.28</v>
      </c>
      <c r="T22" s="70">
        <f t="shared" si="6"/>
        <v>607.06209581403584</v>
      </c>
      <c r="V22" s="42">
        <f t="shared" si="7"/>
        <v>691.38016908359259</v>
      </c>
      <c r="W22" s="10">
        <f t="shared" si="8"/>
        <v>379.44</v>
      </c>
      <c r="X22" s="74">
        <f t="shared" si="9"/>
        <v>1070.8201690835926</v>
      </c>
      <c r="Z22" s="42">
        <f t="shared" si="10"/>
        <v>861.92061079087864</v>
      </c>
      <c r="AA22" s="10">
        <f t="shared" si="11"/>
        <v>473.04</v>
      </c>
      <c r="AB22" s="74">
        <f t="shared" si="13"/>
        <v>1334.9606107908787</v>
      </c>
    </row>
    <row r="23" spans="1:28" x14ac:dyDescent="0.25">
      <c r="A23">
        <v>2019</v>
      </c>
      <c r="B23" s="2">
        <v>2</v>
      </c>
      <c r="C23" s="2" t="s">
        <v>13</v>
      </c>
      <c r="D23" s="3">
        <v>10000</v>
      </c>
      <c r="E23" s="3">
        <v>366000</v>
      </c>
      <c r="F23" s="3"/>
      <c r="G23" s="10">
        <f t="shared" si="0"/>
        <v>376000</v>
      </c>
      <c r="H23" s="3">
        <v>0</v>
      </c>
      <c r="I23" s="10">
        <v>0</v>
      </c>
      <c r="J23" s="9"/>
      <c r="K23" s="3">
        <f t="shared" si="1"/>
        <v>67560.364705882486</v>
      </c>
      <c r="M23" s="3">
        <f t="shared" si="2"/>
        <v>26868.240000000002</v>
      </c>
      <c r="N23" s="3">
        <f t="shared" si="3"/>
        <v>32109.411764705881</v>
      </c>
      <c r="O23" s="10">
        <f t="shared" si="14"/>
        <v>66821.274600617398</v>
      </c>
      <c r="P23" s="10">
        <f t="shared" si="4"/>
        <v>125798.92636532328</v>
      </c>
      <c r="Q23" s="10"/>
      <c r="R23" s="10">
        <f t="shared" si="5"/>
        <v>391.78209581403581</v>
      </c>
      <c r="S23" s="10">
        <f t="shared" si="12"/>
        <v>215.28</v>
      </c>
      <c r="T23" s="70">
        <f t="shared" si="6"/>
        <v>607.06209581403584</v>
      </c>
      <c r="V23" s="42">
        <f t="shared" si="7"/>
        <v>691.38016908359259</v>
      </c>
      <c r="W23" s="10">
        <f t="shared" si="8"/>
        <v>379.44</v>
      </c>
      <c r="X23" s="74">
        <f t="shared" si="9"/>
        <v>1070.8201690835926</v>
      </c>
      <c r="Z23" s="42">
        <f t="shared" si="10"/>
        <v>861.92061079087864</v>
      </c>
      <c r="AA23" s="10">
        <f t="shared" si="11"/>
        <v>473.04</v>
      </c>
      <c r="AB23" s="74">
        <f t="shared" si="13"/>
        <v>1334.9606107908787</v>
      </c>
    </row>
    <row r="24" spans="1:28" x14ac:dyDescent="0.25">
      <c r="A24">
        <v>2019</v>
      </c>
      <c r="B24" s="2">
        <v>3</v>
      </c>
      <c r="C24" s="2"/>
      <c r="D24" s="3"/>
      <c r="E24" s="3"/>
      <c r="F24" s="3"/>
      <c r="G24" s="10">
        <f t="shared" si="0"/>
        <v>0</v>
      </c>
      <c r="H24" s="3"/>
      <c r="I24" s="10"/>
      <c r="J24" s="9"/>
      <c r="K24" s="3">
        <f t="shared" si="1"/>
        <v>126538.01647058837</v>
      </c>
      <c r="M24" s="3">
        <f t="shared" si="2"/>
        <v>26868.240000000002</v>
      </c>
      <c r="N24" s="3">
        <f t="shared" si="3"/>
        <v>32109.411764705881</v>
      </c>
      <c r="O24" s="10">
        <f t="shared" si="14"/>
        <v>66821.274600617398</v>
      </c>
      <c r="P24" s="10">
        <f t="shared" si="4"/>
        <v>125798.92636532328</v>
      </c>
      <c r="Q24" s="10"/>
      <c r="R24" s="10">
        <f t="shared" si="5"/>
        <v>391.78209581403581</v>
      </c>
      <c r="S24" s="10">
        <f t="shared" si="12"/>
        <v>215.28</v>
      </c>
      <c r="T24" s="70">
        <f t="shared" si="6"/>
        <v>607.06209581403584</v>
      </c>
      <c r="V24" s="42">
        <f t="shared" si="7"/>
        <v>691.38016908359259</v>
      </c>
      <c r="W24" s="10">
        <f t="shared" si="8"/>
        <v>379.44</v>
      </c>
      <c r="X24" s="74">
        <f t="shared" si="9"/>
        <v>1070.8201690835926</v>
      </c>
      <c r="Z24" s="42">
        <f t="shared" si="10"/>
        <v>861.92061079087864</v>
      </c>
      <c r="AA24" s="10">
        <f t="shared" si="11"/>
        <v>473.04</v>
      </c>
      <c r="AB24" s="74">
        <f t="shared" si="13"/>
        <v>1334.9606107908787</v>
      </c>
    </row>
    <row r="25" spans="1:28" x14ac:dyDescent="0.25">
      <c r="A25">
        <v>2019</v>
      </c>
      <c r="B25" s="2">
        <v>4</v>
      </c>
      <c r="C25" s="2" t="s">
        <v>14</v>
      </c>
      <c r="D25" s="3"/>
      <c r="E25" s="3">
        <v>40000</v>
      </c>
      <c r="F25" s="3">
        <v>30000</v>
      </c>
      <c r="G25" s="10">
        <f t="shared" si="0"/>
        <v>70000</v>
      </c>
      <c r="H25" s="3"/>
      <c r="I25" s="10"/>
      <c r="J25" s="9"/>
      <c r="K25" s="3">
        <f t="shared" si="1"/>
        <v>115515.66823529424</v>
      </c>
      <c r="M25" s="3">
        <f t="shared" si="2"/>
        <v>26868.240000000002</v>
      </c>
      <c r="N25" s="3">
        <f t="shared" si="3"/>
        <v>32109.411764705881</v>
      </c>
      <c r="O25" s="10">
        <f t="shared" si="14"/>
        <v>66821.274600617398</v>
      </c>
      <c r="P25" s="10">
        <f t="shared" si="4"/>
        <v>125798.92636532328</v>
      </c>
      <c r="Q25" s="10"/>
      <c r="R25" s="10">
        <f t="shared" si="5"/>
        <v>391.78209581403581</v>
      </c>
      <c r="S25" s="10">
        <f t="shared" si="12"/>
        <v>215.28</v>
      </c>
      <c r="T25" s="70">
        <f t="shared" si="6"/>
        <v>607.06209581403584</v>
      </c>
      <c r="V25" s="42">
        <f t="shared" si="7"/>
        <v>691.38016908359259</v>
      </c>
      <c r="W25" s="10">
        <f t="shared" si="8"/>
        <v>379.44</v>
      </c>
      <c r="X25" s="74">
        <f t="shared" si="9"/>
        <v>1070.8201690835926</v>
      </c>
      <c r="Z25" s="42">
        <f t="shared" si="10"/>
        <v>861.92061079087864</v>
      </c>
      <c r="AA25" s="10">
        <f t="shared" si="11"/>
        <v>473.04</v>
      </c>
      <c r="AB25" s="74">
        <f t="shared" si="13"/>
        <v>1334.9606107908787</v>
      </c>
    </row>
    <row r="26" spans="1:28" x14ac:dyDescent="0.25">
      <c r="A26">
        <v>2020</v>
      </c>
      <c r="B26" s="2">
        <v>1</v>
      </c>
      <c r="C26" s="2"/>
      <c r="D26" s="3"/>
      <c r="E26" s="3"/>
      <c r="F26" s="3"/>
      <c r="G26" s="10">
        <f t="shared" si="0"/>
        <v>0</v>
      </c>
      <c r="H26" s="3"/>
      <c r="I26" s="10"/>
      <c r="J26" s="9"/>
      <c r="K26" s="3">
        <f t="shared" si="1"/>
        <v>174493.32000000012</v>
      </c>
      <c r="M26" s="3">
        <f t="shared" si="2"/>
        <v>26868.240000000002</v>
      </c>
      <c r="N26" s="3">
        <f t="shared" si="3"/>
        <v>32109.411764705881</v>
      </c>
      <c r="O26" s="10">
        <f t="shared" si="14"/>
        <v>66821.274600617398</v>
      </c>
      <c r="P26" s="10">
        <f t="shared" si="4"/>
        <v>125798.92636532328</v>
      </c>
      <c r="Q26" s="10"/>
      <c r="R26" s="10">
        <f t="shared" si="5"/>
        <v>391.78209581403581</v>
      </c>
      <c r="S26" s="10">
        <f t="shared" si="12"/>
        <v>215.28</v>
      </c>
      <c r="T26" s="70">
        <f t="shared" si="6"/>
        <v>607.06209581403584</v>
      </c>
      <c r="V26" s="42">
        <f t="shared" si="7"/>
        <v>691.38016908359259</v>
      </c>
      <c r="W26" s="10">
        <f t="shared" si="8"/>
        <v>379.44</v>
      </c>
      <c r="X26" s="74">
        <f t="shared" si="9"/>
        <v>1070.8201690835926</v>
      </c>
      <c r="Z26" s="42">
        <f t="shared" si="10"/>
        <v>861.92061079087864</v>
      </c>
      <c r="AA26" s="10">
        <f t="shared" si="11"/>
        <v>473.04</v>
      </c>
      <c r="AB26" s="74">
        <f t="shared" si="13"/>
        <v>1334.9606107908787</v>
      </c>
    </row>
    <row r="27" spans="1:28" x14ac:dyDescent="0.25">
      <c r="A27">
        <v>2020</v>
      </c>
      <c r="B27" s="2">
        <v>2</v>
      </c>
      <c r="C27" s="2"/>
      <c r="D27" s="8"/>
      <c r="E27" s="8"/>
      <c r="F27" s="8"/>
      <c r="G27" s="20">
        <f t="shared" si="0"/>
        <v>0</v>
      </c>
      <c r="H27" s="8"/>
      <c r="I27" s="10"/>
      <c r="J27" s="9"/>
      <c r="K27" s="3">
        <f t="shared" si="1"/>
        <v>233470.97176470602</v>
      </c>
      <c r="M27" s="3">
        <f t="shared" si="2"/>
        <v>26868.240000000002</v>
      </c>
      <c r="N27" s="3">
        <f t="shared" si="3"/>
        <v>32109.411764705881</v>
      </c>
      <c r="O27" s="10">
        <f t="shared" si="14"/>
        <v>66821.274600617398</v>
      </c>
      <c r="P27" s="10">
        <f t="shared" si="4"/>
        <v>125798.92636532328</v>
      </c>
      <c r="Q27" s="10"/>
      <c r="R27" s="10">
        <f t="shared" si="5"/>
        <v>391.78209581403581</v>
      </c>
      <c r="S27" s="10">
        <f t="shared" si="12"/>
        <v>215.28</v>
      </c>
      <c r="T27" s="70">
        <f t="shared" si="6"/>
        <v>607.06209581403584</v>
      </c>
      <c r="V27" s="42">
        <f t="shared" si="7"/>
        <v>691.38016908359259</v>
      </c>
      <c r="W27" s="10">
        <f t="shared" si="8"/>
        <v>379.44</v>
      </c>
      <c r="X27" s="74">
        <f t="shared" si="9"/>
        <v>1070.8201690835926</v>
      </c>
      <c r="Z27" s="42">
        <f t="shared" si="10"/>
        <v>861.92061079087864</v>
      </c>
      <c r="AA27" s="10">
        <f t="shared" si="11"/>
        <v>473.04</v>
      </c>
      <c r="AB27" s="74">
        <f t="shared" si="13"/>
        <v>1334.9606107908787</v>
      </c>
    </row>
    <row r="28" spans="1:28" x14ac:dyDescent="0.25">
      <c r="A28">
        <v>2020</v>
      </c>
      <c r="B28" s="2">
        <v>3</v>
      </c>
      <c r="C28" s="2"/>
      <c r="D28" s="3"/>
      <c r="E28" s="3"/>
      <c r="G28" s="20">
        <f t="shared" si="0"/>
        <v>0</v>
      </c>
      <c r="H28" s="3"/>
      <c r="K28" s="3">
        <f t="shared" si="1"/>
        <v>292448.62352941191</v>
      </c>
      <c r="M28" s="3">
        <f t="shared" si="2"/>
        <v>26868.240000000002</v>
      </c>
      <c r="N28" s="3">
        <f t="shared" si="3"/>
        <v>32109.411764705881</v>
      </c>
      <c r="O28" s="10">
        <f t="shared" si="14"/>
        <v>66821.274600617398</v>
      </c>
      <c r="P28" s="10">
        <f t="shared" si="4"/>
        <v>125798.92636532328</v>
      </c>
      <c r="Q28" s="10"/>
      <c r="R28" s="10">
        <f t="shared" si="5"/>
        <v>391.78209581403581</v>
      </c>
      <c r="S28" s="10">
        <f t="shared" si="12"/>
        <v>215.28</v>
      </c>
      <c r="T28" s="70">
        <f t="shared" si="6"/>
        <v>607.06209581403584</v>
      </c>
      <c r="V28" s="42">
        <f t="shared" si="7"/>
        <v>691.38016908359259</v>
      </c>
      <c r="W28" s="10">
        <f t="shared" si="8"/>
        <v>379.44</v>
      </c>
      <c r="X28" s="74">
        <f t="shared" si="9"/>
        <v>1070.8201690835926</v>
      </c>
      <c r="Z28" s="42">
        <f t="shared" si="10"/>
        <v>861.92061079087864</v>
      </c>
      <c r="AA28" s="10">
        <f t="shared" si="11"/>
        <v>473.04</v>
      </c>
      <c r="AB28" s="74">
        <f t="shared" si="13"/>
        <v>1334.9606107908787</v>
      </c>
    </row>
    <row r="29" spans="1:28" x14ac:dyDescent="0.25">
      <c r="A29">
        <v>2020</v>
      </c>
      <c r="B29" s="2">
        <v>4</v>
      </c>
      <c r="C29" s="2"/>
      <c r="D29" s="3"/>
      <c r="E29" s="3"/>
      <c r="F29" s="3">
        <v>30000</v>
      </c>
      <c r="G29" s="20">
        <f t="shared" si="0"/>
        <v>30000</v>
      </c>
      <c r="H29" s="3"/>
      <c r="K29" s="3">
        <f t="shared" si="1"/>
        <v>321426.2752941178</v>
      </c>
      <c r="M29" s="3">
        <f t="shared" si="2"/>
        <v>26868.240000000002</v>
      </c>
      <c r="N29" s="3">
        <f t="shared" si="3"/>
        <v>32109.411764705881</v>
      </c>
      <c r="O29" s="10">
        <f t="shared" ref="O29:O45" si="15">$F$61</f>
        <v>66821.274600617398</v>
      </c>
      <c r="P29" s="10">
        <f t="shared" si="4"/>
        <v>125798.92636532328</v>
      </c>
      <c r="Q29" s="10"/>
      <c r="R29" s="10">
        <f t="shared" si="5"/>
        <v>391.78209581403581</v>
      </c>
      <c r="S29" s="10">
        <f t="shared" si="12"/>
        <v>215.28</v>
      </c>
      <c r="T29" s="70">
        <f t="shared" si="6"/>
        <v>607.06209581403584</v>
      </c>
      <c r="V29" s="42">
        <f t="shared" si="7"/>
        <v>691.38016908359259</v>
      </c>
      <c r="W29" s="10">
        <f t="shared" si="8"/>
        <v>379.44</v>
      </c>
      <c r="X29" s="74">
        <f t="shared" si="9"/>
        <v>1070.8201690835926</v>
      </c>
      <c r="Z29" s="42">
        <f t="shared" si="10"/>
        <v>861.92061079087864</v>
      </c>
      <c r="AA29" s="10">
        <f t="shared" si="11"/>
        <v>473.04</v>
      </c>
      <c r="AB29" s="74">
        <f t="shared" si="13"/>
        <v>1334.9606107908787</v>
      </c>
    </row>
    <row r="30" spans="1:28" x14ac:dyDescent="0.25">
      <c r="A30">
        <v>2021</v>
      </c>
      <c r="B30" s="2">
        <v>1</v>
      </c>
      <c r="C30" s="2"/>
      <c r="D30" s="3"/>
      <c r="E30" s="3"/>
      <c r="F30" s="3"/>
      <c r="G30" s="20">
        <f t="shared" si="0"/>
        <v>0</v>
      </c>
      <c r="H30" s="3"/>
      <c r="K30" s="3">
        <f t="shared" si="1"/>
        <v>380403.9270588237</v>
      </c>
      <c r="M30" s="3">
        <f t="shared" si="2"/>
        <v>26868.240000000002</v>
      </c>
      <c r="N30" s="3">
        <f t="shared" si="3"/>
        <v>32109.411764705881</v>
      </c>
      <c r="O30" s="10">
        <f t="shared" si="15"/>
        <v>66821.274600617398</v>
      </c>
      <c r="P30" s="10">
        <f t="shared" si="4"/>
        <v>125798.92636532328</v>
      </c>
      <c r="Q30" s="10"/>
      <c r="R30" s="10">
        <f t="shared" si="5"/>
        <v>391.78209581403581</v>
      </c>
      <c r="S30" s="10">
        <f t="shared" si="12"/>
        <v>215.28</v>
      </c>
      <c r="T30" s="70">
        <f t="shared" si="6"/>
        <v>607.06209581403584</v>
      </c>
      <c r="V30" s="42">
        <f t="shared" si="7"/>
        <v>691.38016908359259</v>
      </c>
      <c r="W30" s="10">
        <f t="shared" si="8"/>
        <v>379.44</v>
      </c>
      <c r="X30" s="74">
        <f t="shared" si="9"/>
        <v>1070.8201690835926</v>
      </c>
      <c r="Z30" s="42">
        <f t="shared" si="10"/>
        <v>861.92061079087864</v>
      </c>
      <c r="AA30" s="10">
        <f t="shared" si="11"/>
        <v>473.04</v>
      </c>
      <c r="AB30" s="74">
        <f t="shared" si="13"/>
        <v>1334.9606107908787</v>
      </c>
    </row>
    <row r="31" spans="1:28" x14ac:dyDescent="0.25">
      <c r="A31">
        <v>2021</v>
      </c>
      <c r="B31" s="2">
        <v>2</v>
      </c>
      <c r="C31" s="2"/>
      <c r="D31" s="3"/>
      <c r="E31" s="3"/>
      <c r="F31" s="3"/>
      <c r="G31" s="20">
        <f t="shared" si="0"/>
        <v>0</v>
      </c>
      <c r="H31" s="3"/>
      <c r="K31" s="3">
        <f t="shared" si="1"/>
        <v>439381.57882352959</v>
      </c>
      <c r="M31" s="3">
        <f t="shared" si="2"/>
        <v>26868.240000000002</v>
      </c>
      <c r="N31" s="3">
        <f t="shared" si="3"/>
        <v>32109.411764705881</v>
      </c>
      <c r="O31" s="10">
        <f t="shared" si="15"/>
        <v>66821.274600617398</v>
      </c>
      <c r="P31" s="10">
        <f t="shared" si="4"/>
        <v>125798.92636532328</v>
      </c>
      <c r="Q31" s="10"/>
      <c r="R31" s="10">
        <f t="shared" si="5"/>
        <v>391.78209581403581</v>
      </c>
      <c r="S31" s="10">
        <f t="shared" si="12"/>
        <v>215.28</v>
      </c>
      <c r="T31" s="70">
        <f t="shared" si="6"/>
        <v>607.06209581403584</v>
      </c>
      <c r="V31" s="42">
        <f t="shared" si="7"/>
        <v>691.38016908359259</v>
      </c>
      <c r="W31" s="10">
        <f t="shared" si="8"/>
        <v>379.44</v>
      </c>
      <c r="X31" s="74">
        <f t="shared" si="9"/>
        <v>1070.8201690835926</v>
      </c>
      <c r="Z31" s="42">
        <f t="shared" si="10"/>
        <v>861.92061079087864</v>
      </c>
      <c r="AA31" s="10">
        <f t="shared" si="11"/>
        <v>473.04</v>
      </c>
      <c r="AB31" s="74">
        <f t="shared" si="13"/>
        <v>1334.9606107908787</v>
      </c>
    </row>
    <row r="32" spans="1:28" x14ac:dyDescent="0.25">
      <c r="A32">
        <v>2021</v>
      </c>
      <c r="B32" s="2">
        <v>3</v>
      </c>
      <c r="C32" s="2"/>
      <c r="D32" s="3"/>
      <c r="E32" s="3"/>
      <c r="F32" s="3"/>
      <c r="G32" s="20">
        <f t="shared" si="0"/>
        <v>0</v>
      </c>
      <c r="H32" s="3"/>
      <c r="K32" s="3">
        <f t="shared" si="1"/>
        <v>498359.23058823548</v>
      </c>
      <c r="M32" s="3">
        <f t="shared" si="2"/>
        <v>26868.240000000002</v>
      </c>
      <c r="N32" s="3">
        <f t="shared" si="3"/>
        <v>32109.411764705881</v>
      </c>
      <c r="O32" s="10">
        <f t="shared" si="15"/>
        <v>66821.274600617398</v>
      </c>
      <c r="P32" s="10">
        <f t="shared" si="4"/>
        <v>125798.92636532328</v>
      </c>
      <c r="Q32" s="10"/>
      <c r="R32" s="10">
        <f t="shared" si="5"/>
        <v>391.78209581403581</v>
      </c>
      <c r="S32" s="10">
        <f t="shared" si="12"/>
        <v>215.28</v>
      </c>
      <c r="T32" s="70">
        <f t="shared" si="6"/>
        <v>607.06209581403584</v>
      </c>
      <c r="V32" s="42">
        <f t="shared" si="7"/>
        <v>691.38016908359259</v>
      </c>
      <c r="W32" s="10">
        <f t="shared" si="8"/>
        <v>379.44</v>
      </c>
      <c r="X32" s="74">
        <f t="shared" si="9"/>
        <v>1070.8201690835926</v>
      </c>
      <c r="Z32" s="42">
        <f t="shared" si="10"/>
        <v>861.92061079087864</v>
      </c>
      <c r="AA32" s="10">
        <f t="shared" si="11"/>
        <v>473.04</v>
      </c>
      <c r="AB32" s="74">
        <f t="shared" si="13"/>
        <v>1334.9606107908787</v>
      </c>
    </row>
    <row r="33" spans="1:28" x14ac:dyDescent="0.25">
      <c r="A33">
        <v>2021</v>
      </c>
      <c r="B33" s="2">
        <v>4</v>
      </c>
      <c r="C33" s="2"/>
      <c r="D33" s="3"/>
      <c r="E33" s="3"/>
      <c r="F33" s="3">
        <v>30000</v>
      </c>
      <c r="G33" s="20">
        <f t="shared" si="0"/>
        <v>30000</v>
      </c>
      <c r="H33" s="3"/>
      <c r="K33" s="3">
        <f t="shared" si="1"/>
        <v>527336.88235294132</v>
      </c>
      <c r="M33" s="3">
        <f t="shared" si="2"/>
        <v>26868.240000000002</v>
      </c>
      <c r="N33" s="3">
        <f t="shared" si="3"/>
        <v>32109.411764705881</v>
      </c>
      <c r="O33" s="10">
        <f t="shared" si="15"/>
        <v>66821.274600617398</v>
      </c>
      <c r="P33" s="10">
        <f t="shared" si="4"/>
        <v>125798.92636532328</v>
      </c>
      <c r="Q33" s="10"/>
      <c r="R33" s="10">
        <f t="shared" si="5"/>
        <v>391.78209581403581</v>
      </c>
      <c r="S33" s="10">
        <f t="shared" si="12"/>
        <v>215.28</v>
      </c>
      <c r="T33" s="70">
        <f t="shared" si="6"/>
        <v>607.06209581403584</v>
      </c>
      <c r="V33" s="42">
        <f t="shared" si="7"/>
        <v>691.38016908359259</v>
      </c>
      <c r="W33" s="10">
        <f t="shared" si="8"/>
        <v>379.44</v>
      </c>
      <c r="X33" s="74">
        <f t="shared" si="9"/>
        <v>1070.8201690835926</v>
      </c>
      <c r="Z33" s="42">
        <f t="shared" si="10"/>
        <v>861.92061079087864</v>
      </c>
      <c r="AA33" s="10">
        <f t="shared" si="11"/>
        <v>473.04</v>
      </c>
      <c r="AB33" s="74">
        <f t="shared" si="13"/>
        <v>1334.9606107908787</v>
      </c>
    </row>
    <row r="34" spans="1:28" x14ac:dyDescent="0.25">
      <c r="A34">
        <v>2022</v>
      </c>
      <c r="B34" s="2">
        <v>1</v>
      </c>
      <c r="C34" s="2"/>
      <c r="D34" s="3"/>
      <c r="E34" s="3"/>
      <c r="F34" s="3"/>
      <c r="G34" s="20">
        <f t="shared" si="0"/>
        <v>0</v>
      </c>
      <c r="H34" s="3"/>
      <c r="K34" s="3">
        <f t="shared" si="1"/>
        <v>586314.53411764721</v>
      </c>
      <c r="M34" s="3">
        <f t="shared" si="2"/>
        <v>26868.240000000002</v>
      </c>
      <c r="N34" s="3">
        <f t="shared" si="3"/>
        <v>32109.411764705881</v>
      </c>
      <c r="O34" s="10">
        <f t="shared" si="15"/>
        <v>66821.274600617398</v>
      </c>
      <c r="P34" s="10">
        <f t="shared" si="4"/>
        <v>125798.92636532328</v>
      </c>
      <c r="Q34" s="10"/>
      <c r="R34" s="10">
        <f t="shared" si="5"/>
        <v>391.78209581403581</v>
      </c>
      <c r="S34" s="10">
        <f t="shared" si="12"/>
        <v>215.28</v>
      </c>
      <c r="T34" s="70">
        <f t="shared" si="6"/>
        <v>607.06209581403584</v>
      </c>
      <c r="V34" s="42">
        <f t="shared" si="7"/>
        <v>691.38016908359259</v>
      </c>
      <c r="W34" s="10">
        <f t="shared" si="8"/>
        <v>379.44</v>
      </c>
      <c r="X34" s="74">
        <f t="shared" si="9"/>
        <v>1070.8201690835926</v>
      </c>
      <c r="Z34" s="42">
        <f t="shared" si="10"/>
        <v>861.92061079087864</v>
      </c>
      <c r="AA34" s="10">
        <f t="shared" si="11"/>
        <v>473.04</v>
      </c>
      <c r="AB34" s="74">
        <f t="shared" si="13"/>
        <v>1334.9606107908787</v>
      </c>
    </row>
    <row r="35" spans="1:28" x14ac:dyDescent="0.25">
      <c r="A35">
        <v>2022</v>
      </c>
      <c r="B35" s="2">
        <v>2</v>
      </c>
      <c r="C35" s="2"/>
      <c r="D35" s="3"/>
      <c r="E35" s="3"/>
      <c r="F35" s="3"/>
      <c r="G35" s="20">
        <f t="shared" si="0"/>
        <v>0</v>
      </c>
      <c r="H35" s="3"/>
      <c r="K35" s="3">
        <f t="shared" si="1"/>
        <v>645292.18588235311</v>
      </c>
      <c r="M35" s="3">
        <f t="shared" si="2"/>
        <v>26868.240000000002</v>
      </c>
      <c r="N35" s="3">
        <f t="shared" si="3"/>
        <v>32109.411764705881</v>
      </c>
      <c r="O35" s="10">
        <f t="shared" si="15"/>
        <v>66821.274600617398</v>
      </c>
      <c r="P35" s="10">
        <f t="shared" si="4"/>
        <v>125798.92636532328</v>
      </c>
      <c r="Q35" s="10"/>
      <c r="R35" s="10">
        <f t="shared" si="5"/>
        <v>391.78209581403581</v>
      </c>
      <c r="S35" s="10">
        <f t="shared" si="12"/>
        <v>215.28</v>
      </c>
      <c r="T35" s="70">
        <f t="shared" si="6"/>
        <v>607.06209581403584</v>
      </c>
      <c r="V35" s="42">
        <f t="shared" si="7"/>
        <v>691.38016908359259</v>
      </c>
      <c r="W35" s="10">
        <f t="shared" si="8"/>
        <v>379.44</v>
      </c>
      <c r="X35" s="74">
        <f t="shared" si="9"/>
        <v>1070.8201690835926</v>
      </c>
      <c r="Z35" s="42">
        <f t="shared" si="10"/>
        <v>861.92061079087864</v>
      </c>
      <c r="AA35" s="10">
        <f t="shared" si="11"/>
        <v>473.04</v>
      </c>
      <c r="AB35" s="74">
        <f t="shared" si="13"/>
        <v>1334.9606107908787</v>
      </c>
    </row>
    <row r="36" spans="1:28" x14ac:dyDescent="0.25">
      <c r="A36">
        <v>2022</v>
      </c>
      <c r="B36" s="2">
        <v>3</v>
      </c>
      <c r="C36" s="2"/>
      <c r="D36" s="3"/>
      <c r="E36" s="3"/>
      <c r="F36" s="3"/>
      <c r="G36" s="20">
        <f t="shared" si="0"/>
        <v>0</v>
      </c>
      <c r="H36" s="3"/>
      <c r="K36" s="3">
        <f t="shared" si="1"/>
        <v>704269.837647059</v>
      </c>
      <c r="M36" s="3">
        <f t="shared" si="2"/>
        <v>26868.240000000002</v>
      </c>
      <c r="N36" s="3">
        <f t="shared" si="3"/>
        <v>32109.411764705881</v>
      </c>
      <c r="O36" s="10">
        <f t="shared" si="15"/>
        <v>66821.274600617398</v>
      </c>
      <c r="P36" s="10">
        <f t="shared" si="4"/>
        <v>125798.92636532328</v>
      </c>
      <c r="Q36" s="10"/>
      <c r="R36" s="10">
        <f t="shared" si="5"/>
        <v>391.78209581403581</v>
      </c>
      <c r="S36" s="10">
        <f t="shared" si="12"/>
        <v>215.28</v>
      </c>
      <c r="T36" s="70">
        <f t="shared" si="6"/>
        <v>607.06209581403584</v>
      </c>
      <c r="V36" s="42">
        <f t="shared" si="7"/>
        <v>691.38016908359259</v>
      </c>
      <c r="W36" s="10">
        <f t="shared" si="8"/>
        <v>379.44</v>
      </c>
      <c r="X36" s="74">
        <f t="shared" si="9"/>
        <v>1070.8201690835926</v>
      </c>
      <c r="Z36" s="42">
        <f t="shared" si="10"/>
        <v>861.92061079087864</v>
      </c>
      <c r="AA36" s="10">
        <f t="shared" si="11"/>
        <v>473.04</v>
      </c>
      <c r="AB36" s="74">
        <f t="shared" si="13"/>
        <v>1334.9606107908787</v>
      </c>
    </row>
    <row r="37" spans="1:28" x14ac:dyDescent="0.25">
      <c r="A37">
        <v>2022</v>
      </c>
      <c r="B37" s="2">
        <v>4</v>
      </c>
      <c r="C37" s="2"/>
      <c r="D37" s="3"/>
      <c r="E37" s="3"/>
      <c r="F37" s="3"/>
      <c r="G37" s="20">
        <f t="shared" si="0"/>
        <v>0</v>
      </c>
      <c r="H37" s="3"/>
      <c r="K37" s="3">
        <f t="shared" si="1"/>
        <v>763247.48941176489</v>
      </c>
      <c r="M37" s="3">
        <f t="shared" si="2"/>
        <v>26868.240000000002</v>
      </c>
      <c r="N37" s="3">
        <f t="shared" si="3"/>
        <v>32109.411764705881</v>
      </c>
      <c r="O37" s="10">
        <f t="shared" si="15"/>
        <v>66821.274600617398</v>
      </c>
      <c r="P37" s="10">
        <f t="shared" si="4"/>
        <v>125798.92636532328</v>
      </c>
      <c r="Q37" s="10"/>
      <c r="R37" s="10">
        <f t="shared" si="5"/>
        <v>391.78209581403581</v>
      </c>
      <c r="S37" s="10">
        <f t="shared" si="12"/>
        <v>215.28</v>
      </c>
      <c r="T37" s="70">
        <f t="shared" si="6"/>
        <v>607.06209581403584</v>
      </c>
      <c r="V37" s="42">
        <f t="shared" si="7"/>
        <v>691.38016908359259</v>
      </c>
      <c r="W37" s="10">
        <f t="shared" si="8"/>
        <v>379.44</v>
      </c>
      <c r="X37" s="74">
        <f t="shared" si="9"/>
        <v>1070.8201690835926</v>
      </c>
      <c r="Z37" s="42">
        <f t="shared" si="10"/>
        <v>861.92061079087864</v>
      </c>
      <c r="AA37" s="10">
        <f t="shared" si="11"/>
        <v>473.04</v>
      </c>
      <c r="AB37" s="74">
        <f t="shared" si="13"/>
        <v>1334.9606107908787</v>
      </c>
    </row>
    <row r="38" spans="1:28" x14ac:dyDescent="0.25">
      <c r="A38">
        <v>2023</v>
      </c>
      <c r="B38" s="2">
        <v>1</v>
      </c>
      <c r="C38" s="2"/>
      <c r="D38" s="3"/>
      <c r="E38" s="3"/>
      <c r="G38" s="20">
        <f t="shared" si="0"/>
        <v>0</v>
      </c>
      <c r="H38" s="3"/>
      <c r="K38" s="3">
        <f t="shared" si="1"/>
        <v>822225.14117647079</v>
      </c>
      <c r="M38" s="3">
        <f t="shared" si="2"/>
        <v>26868.240000000002</v>
      </c>
      <c r="N38" s="3">
        <f t="shared" si="3"/>
        <v>32109.411764705881</v>
      </c>
      <c r="O38" s="10">
        <f t="shared" si="15"/>
        <v>66821.274600617398</v>
      </c>
      <c r="P38" s="10">
        <f t="shared" si="4"/>
        <v>125798.92636532328</v>
      </c>
      <c r="Q38" s="10"/>
      <c r="R38" s="10">
        <f t="shared" si="5"/>
        <v>391.78209581403581</v>
      </c>
      <c r="S38" s="10">
        <f t="shared" si="12"/>
        <v>215.28</v>
      </c>
      <c r="T38" s="70">
        <f t="shared" si="6"/>
        <v>607.06209581403584</v>
      </c>
      <c r="V38" s="42">
        <f t="shared" si="7"/>
        <v>691.38016908359259</v>
      </c>
      <c r="W38" s="10">
        <f t="shared" si="8"/>
        <v>379.44</v>
      </c>
      <c r="X38" s="74">
        <f t="shared" si="9"/>
        <v>1070.8201690835926</v>
      </c>
      <c r="Z38" s="42">
        <f t="shared" si="10"/>
        <v>861.92061079087864</v>
      </c>
      <c r="AA38" s="10">
        <f t="shared" si="11"/>
        <v>473.04</v>
      </c>
      <c r="AB38" s="74">
        <f t="shared" si="13"/>
        <v>1334.9606107908787</v>
      </c>
    </row>
    <row r="39" spans="1:28" x14ac:dyDescent="0.25">
      <c r="A39">
        <v>2023</v>
      </c>
      <c r="B39" s="2">
        <v>2</v>
      </c>
      <c r="C39" s="2"/>
      <c r="D39" s="3"/>
      <c r="E39" s="3"/>
      <c r="G39" s="20">
        <f t="shared" si="0"/>
        <v>0</v>
      </c>
      <c r="H39" s="3"/>
      <c r="K39" s="3">
        <f t="shared" si="1"/>
        <v>881202.79294117668</v>
      </c>
      <c r="M39" s="3">
        <f t="shared" si="2"/>
        <v>26868.240000000002</v>
      </c>
      <c r="N39" s="3">
        <f t="shared" si="3"/>
        <v>32109.411764705881</v>
      </c>
      <c r="O39" s="10">
        <f t="shared" si="15"/>
        <v>66821.274600617398</v>
      </c>
      <c r="P39" s="10">
        <f t="shared" si="4"/>
        <v>125798.92636532328</v>
      </c>
      <c r="Q39" s="10"/>
      <c r="R39" s="10">
        <f t="shared" si="5"/>
        <v>391.78209581403581</v>
      </c>
      <c r="S39" s="10">
        <f t="shared" si="12"/>
        <v>215.28</v>
      </c>
      <c r="T39" s="70">
        <f t="shared" si="6"/>
        <v>607.06209581403584</v>
      </c>
      <c r="V39" s="42">
        <f t="shared" si="7"/>
        <v>691.38016908359259</v>
      </c>
      <c r="W39" s="10">
        <f t="shared" si="8"/>
        <v>379.44</v>
      </c>
      <c r="X39" s="74">
        <f t="shared" si="9"/>
        <v>1070.8201690835926</v>
      </c>
      <c r="Z39" s="42">
        <f t="shared" si="10"/>
        <v>861.92061079087864</v>
      </c>
      <c r="AA39" s="10">
        <f t="shared" si="11"/>
        <v>473.04</v>
      </c>
      <c r="AB39" s="74">
        <f t="shared" si="13"/>
        <v>1334.9606107908787</v>
      </c>
    </row>
    <row r="40" spans="1:28" x14ac:dyDescent="0.25">
      <c r="A40">
        <v>2023</v>
      </c>
      <c r="B40" s="2">
        <v>3</v>
      </c>
      <c r="C40" s="2"/>
      <c r="D40" s="3"/>
      <c r="E40" s="3"/>
      <c r="G40" s="20">
        <f t="shared" si="0"/>
        <v>0</v>
      </c>
      <c r="H40" s="3"/>
      <c r="K40" s="3">
        <f t="shared" ref="K40:K45" si="16">K39-G40-I40+H40+SUM(M40:N40)</f>
        <v>940180.44470588258</v>
      </c>
      <c r="M40" s="3">
        <f t="shared" si="2"/>
        <v>26868.240000000002</v>
      </c>
      <c r="N40" s="3">
        <f t="shared" si="3"/>
        <v>32109.411764705881</v>
      </c>
      <c r="O40" s="10">
        <f t="shared" si="15"/>
        <v>66821.274600617398</v>
      </c>
      <c r="P40" s="10">
        <f t="shared" si="4"/>
        <v>125798.92636532328</v>
      </c>
      <c r="Q40" s="10"/>
      <c r="R40" s="10">
        <f t="shared" si="5"/>
        <v>391.78209581403581</v>
      </c>
      <c r="S40" s="10">
        <f t="shared" si="12"/>
        <v>215.28</v>
      </c>
      <c r="T40" s="70">
        <f t="shared" si="6"/>
        <v>607.06209581403584</v>
      </c>
      <c r="V40" s="42">
        <f t="shared" si="7"/>
        <v>691.38016908359259</v>
      </c>
      <c r="W40" s="10">
        <f t="shared" si="8"/>
        <v>379.44</v>
      </c>
      <c r="X40" s="74">
        <f t="shared" si="9"/>
        <v>1070.8201690835926</v>
      </c>
      <c r="Z40" s="42">
        <f t="shared" si="10"/>
        <v>861.92061079087864</v>
      </c>
      <c r="AA40" s="10">
        <f t="shared" si="11"/>
        <v>473.04</v>
      </c>
      <c r="AB40" s="74">
        <f t="shared" si="13"/>
        <v>1334.9606107908787</v>
      </c>
    </row>
    <row r="41" spans="1:28" x14ac:dyDescent="0.25">
      <c r="A41">
        <v>2023</v>
      </c>
      <c r="B41" s="2">
        <v>4</v>
      </c>
      <c r="C41" s="2"/>
      <c r="D41" s="3"/>
      <c r="E41" s="3"/>
      <c r="F41" s="3"/>
      <c r="G41" s="20">
        <f t="shared" si="0"/>
        <v>0</v>
      </c>
      <c r="H41" s="3"/>
      <c r="K41" s="3">
        <f t="shared" si="16"/>
        <v>999158.09647058847</v>
      </c>
      <c r="M41" s="3">
        <f t="shared" si="2"/>
        <v>26868.240000000002</v>
      </c>
      <c r="N41" s="3">
        <f t="shared" si="3"/>
        <v>32109.411764705881</v>
      </c>
      <c r="O41" s="10">
        <f t="shared" si="15"/>
        <v>66821.274600617398</v>
      </c>
      <c r="P41" s="10">
        <f t="shared" si="4"/>
        <v>125798.92636532328</v>
      </c>
      <c r="Q41" s="10"/>
      <c r="R41" s="10">
        <f t="shared" si="5"/>
        <v>391.78209581403581</v>
      </c>
      <c r="S41" s="10">
        <f t="shared" si="12"/>
        <v>215.28</v>
      </c>
      <c r="T41" s="70">
        <f t="shared" si="6"/>
        <v>607.06209581403584</v>
      </c>
      <c r="V41" s="42">
        <f t="shared" si="7"/>
        <v>691.38016908359259</v>
      </c>
      <c r="W41" s="10">
        <f t="shared" si="8"/>
        <v>379.44</v>
      </c>
      <c r="X41" s="74">
        <f t="shared" si="9"/>
        <v>1070.8201690835926</v>
      </c>
      <c r="Z41" s="42">
        <f t="shared" si="10"/>
        <v>861.92061079087864</v>
      </c>
      <c r="AA41" s="10">
        <f t="shared" si="11"/>
        <v>473.04</v>
      </c>
      <c r="AB41" s="74">
        <f t="shared" si="13"/>
        <v>1334.9606107908787</v>
      </c>
    </row>
    <row r="42" spans="1:28" x14ac:dyDescent="0.25">
      <c r="A42">
        <v>2024</v>
      </c>
      <c r="B42" s="2">
        <v>1</v>
      </c>
      <c r="C42" s="2" t="s">
        <v>21</v>
      </c>
      <c r="D42" s="3">
        <v>80000</v>
      </c>
      <c r="E42" s="3"/>
      <c r="G42" s="20">
        <f>SUM(D42:F42)</f>
        <v>80000</v>
      </c>
      <c r="H42" s="3"/>
      <c r="K42" s="3">
        <f t="shared" si="16"/>
        <v>978135.74823529436</v>
      </c>
      <c r="M42" s="3">
        <f t="shared" si="2"/>
        <v>26868.240000000002</v>
      </c>
      <c r="N42" s="3">
        <f t="shared" si="3"/>
        <v>32109.411764705881</v>
      </c>
      <c r="O42" s="10">
        <f t="shared" si="15"/>
        <v>66821.274600617398</v>
      </c>
      <c r="P42" s="10">
        <f t="shared" si="4"/>
        <v>125798.92636532328</v>
      </c>
      <c r="Q42" s="10"/>
      <c r="R42" s="10">
        <f t="shared" si="5"/>
        <v>391.78209581403581</v>
      </c>
      <c r="S42" s="10">
        <f t="shared" si="12"/>
        <v>215.28</v>
      </c>
      <c r="T42" s="70">
        <f t="shared" si="6"/>
        <v>607.06209581403584</v>
      </c>
      <c r="V42" s="42">
        <f t="shared" si="7"/>
        <v>691.38016908359259</v>
      </c>
      <c r="W42" s="10">
        <f t="shared" si="8"/>
        <v>379.44</v>
      </c>
      <c r="X42" s="74">
        <f t="shared" si="9"/>
        <v>1070.8201690835926</v>
      </c>
      <c r="Z42" s="42">
        <f t="shared" si="10"/>
        <v>861.92061079087864</v>
      </c>
      <c r="AA42" s="10">
        <f t="shared" si="11"/>
        <v>473.04</v>
      </c>
      <c r="AB42" s="74">
        <f t="shared" si="13"/>
        <v>1334.9606107908787</v>
      </c>
    </row>
    <row r="43" spans="1:28" x14ac:dyDescent="0.25">
      <c r="A43">
        <v>2024</v>
      </c>
      <c r="B43" s="2">
        <v>2</v>
      </c>
      <c r="C43" s="2"/>
      <c r="D43" s="3"/>
      <c r="E43" s="3">
        <v>400000</v>
      </c>
      <c r="G43" s="20">
        <f>SUM(D43:F43)</f>
        <v>400000</v>
      </c>
      <c r="H43" s="3"/>
      <c r="K43" s="3">
        <f t="shared" si="16"/>
        <v>637113.40000000026</v>
      </c>
      <c r="M43" s="3">
        <f t="shared" si="2"/>
        <v>26868.240000000002</v>
      </c>
      <c r="N43" s="3">
        <f t="shared" si="3"/>
        <v>32109.411764705881</v>
      </c>
      <c r="O43" s="10">
        <f t="shared" si="15"/>
        <v>66821.274600617398</v>
      </c>
      <c r="P43" s="10">
        <f t="shared" si="4"/>
        <v>125798.92636532328</v>
      </c>
      <c r="Q43" s="10"/>
      <c r="R43" s="10">
        <f t="shared" si="5"/>
        <v>391.78209581403581</v>
      </c>
      <c r="S43" s="10">
        <f t="shared" si="12"/>
        <v>215.28</v>
      </c>
      <c r="T43" s="70">
        <f t="shared" si="6"/>
        <v>607.06209581403584</v>
      </c>
      <c r="V43" s="42">
        <f t="shared" si="7"/>
        <v>691.38016908359259</v>
      </c>
      <c r="W43" s="10">
        <f t="shared" si="8"/>
        <v>379.44</v>
      </c>
      <c r="X43" s="74">
        <f t="shared" si="9"/>
        <v>1070.8201690835926</v>
      </c>
      <c r="Z43" s="42">
        <f t="shared" si="10"/>
        <v>861.92061079087864</v>
      </c>
      <c r="AA43" s="10">
        <f t="shared" si="11"/>
        <v>473.04</v>
      </c>
      <c r="AB43" s="74">
        <f t="shared" si="13"/>
        <v>1334.9606107908787</v>
      </c>
    </row>
    <row r="44" spans="1:28" x14ac:dyDescent="0.25">
      <c r="A44">
        <v>2024</v>
      </c>
      <c r="B44" s="2">
        <v>3</v>
      </c>
      <c r="C44" s="2" t="s">
        <v>21</v>
      </c>
      <c r="D44" s="3">
        <v>80000</v>
      </c>
      <c r="E44" s="3"/>
      <c r="G44" s="20">
        <f>SUM(D44:F44)</f>
        <v>80000</v>
      </c>
      <c r="H44" s="3"/>
      <c r="K44" s="3">
        <f t="shared" si="16"/>
        <v>616091.05176470615</v>
      </c>
      <c r="M44" s="3">
        <f t="shared" si="2"/>
        <v>26868.240000000002</v>
      </c>
      <c r="N44" s="3">
        <f t="shared" si="3"/>
        <v>32109.411764705881</v>
      </c>
      <c r="O44" s="10">
        <f t="shared" si="15"/>
        <v>66821.274600617398</v>
      </c>
      <c r="P44" s="10">
        <f t="shared" si="4"/>
        <v>125798.92636532328</v>
      </c>
      <c r="Q44" s="10"/>
      <c r="R44" s="10">
        <f t="shared" si="5"/>
        <v>391.78209581403581</v>
      </c>
      <c r="S44" s="10">
        <f t="shared" si="12"/>
        <v>215.28</v>
      </c>
      <c r="T44" s="70">
        <f t="shared" si="6"/>
        <v>607.06209581403584</v>
      </c>
      <c r="V44" s="42">
        <f t="shared" si="7"/>
        <v>691.38016908359259</v>
      </c>
      <c r="W44" s="10">
        <f t="shared" si="8"/>
        <v>379.44</v>
      </c>
      <c r="X44" s="74">
        <f t="shared" si="9"/>
        <v>1070.8201690835926</v>
      </c>
      <c r="Z44" s="42">
        <f t="shared" si="10"/>
        <v>861.92061079087864</v>
      </c>
      <c r="AA44" s="10">
        <f t="shared" si="11"/>
        <v>473.04</v>
      </c>
      <c r="AB44" s="74">
        <f t="shared" si="13"/>
        <v>1334.9606107908787</v>
      </c>
    </row>
    <row r="45" spans="1:28" x14ac:dyDescent="0.25">
      <c r="A45">
        <v>2024</v>
      </c>
      <c r="B45" s="2">
        <v>4</v>
      </c>
      <c r="C45" s="2"/>
      <c r="D45" s="6"/>
      <c r="E45" s="6">
        <v>400000</v>
      </c>
      <c r="F45" s="21"/>
      <c r="G45" s="11">
        <f>SUM(D45:F45)</f>
        <v>400000</v>
      </c>
      <c r="H45" s="6"/>
      <c r="I45" s="21"/>
      <c r="K45" s="3">
        <f t="shared" si="16"/>
        <v>275068.70352941204</v>
      </c>
      <c r="M45" s="6">
        <f t="shared" si="2"/>
        <v>26868.240000000002</v>
      </c>
      <c r="N45" s="6">
        <f t="shared" si="3"/>
        <v>32109.411764705881</v>
      </c>
      <c r="O45" s="11">
        <f t="shared" si="15"/>
        <v>66821.274600617398</v>
      </c>
      <c r="P45" s="11">
        <f t="shared" si="4"/>
        <v>125798.92636532328</v>
      </c>
      <c r="Q45" s="11"/>
      <c r="R45" s="11">
        <f t="shared" si="5"/>
        <v>391.78209581403581</v>
      </c>
      <c r="S45" s="11">
        <f t="shared" si="12"/>
        <v>215.28</v>
      </c>
      <c r="T45" s="71">
        <f t="shared" si="6"/>
        <v>607.06209581403584</v>
      </c>
      <c r="V45" s="43">
        <f t="shared" si="7"/>
        <v>691.38016908359259</v>
      </c>
      <c r="W45" s="11">
        <f t="shared" si="8"/>
        <v>379.44</v>
      </c>
      <c r="X45" s="75">
        <f t="shared" si="9"/>
        <v>1070.8201690835926</v>
      </c>
      <c r="Z45" s="43">
        <f t="shared" si="10"/>
        <v>861.92061079087864</v>
      </c>
      <c r="AA45" s="11">
        <f t="shared" si="11"/>
        <v>473.04</v>
      </c>
      <c r="AB45" s="75">
        <f t="shared" si="13"/>
        <v>1334.9606107908787</v>
      </c>
    </row>
    <row r="46" spans="1:28" x14ac:dyDescent="0.25">
      <c r="A46" s="59" t="s">
        <v>23</v>
      </c>
      <c r="B46" s="2"/>
      <c r="C46" s="2"/>
      <c r="D46" s="3">
        <f>SUM(D8:D45)</f>
        <v>792000</v>
      </c>
      <c r="E46" s="3">
        <f>SUM(E8:E45)</f>
        <v>3400000</v>
      </c>
      <c r="F46" s="3">
        <f>SUM(F8:F45)</f>
        <v>185000</v>
      </c>
      <c r="G46" s="3">
        <f>SUM(G8:G45)</f>
        <v>4377000</v>
      </c>
      <c r="H46" s="77">
        <f t="shared" ref="H46:I46" si="17">SUM(H8:H45)</f>
        <v>2100000</v>
      </c>
      <c r="I46" s="3">
        <f t="shared" si="17"/>
        <v>69375</v>
      </c>
      <c r="K46" s="3"/>
      <c r="M46" s="3">
        <f>SUM(M9:M45)</f>
        <v>994124.87999999977</v>
      </c>
      <c r="N46" s="3">
        <f>SUM(N9:N45)</f>
        <v>1155938.8235294118</v>
      </c>
      <c r="O46" s="3">
        <f>SUM(O9:O45)</f>
        <v>1603710.590414817</v>
      </c>
      <c r="P46" s="3">
        <f>SUM(P9:P45)</f>
        <v>3753774.2939442312</v>
      </c>
      <c r="Q46" s="3"/>
      <c r="R46" s="3">
        <f t="shared" ref="R46:T46" si="18">SUM(R9:R45)</f>
        <v>11690.616075376822</v>
      </c>
      <c r="S46" s="3">
        <f t="shared" si="18"/>
        <v>7965.3599999999979</v>
      </c>
      <c r="T46" s="72">
        <f t="shared" si="18"/>
        <v>19655.976075376813</v>
      </c>
      <c r="V46" s="3">
        <f t="shared" ref="V46:AB46" si="19">SUM(V9:V45)</f>
        <v>20630.317780076752</v>
      </c>
      <c r="W46" s="3">
        <f t="shared" si="19"/>
        <v>14039.280000000004</v>
      </c>
      <c r="X46" s="72">
        <f t="shared" si="19"/>
        <v>34669.597780076729</v>
      </c>
      <c r="Z46" s="3">
        <f t="shared" si="19"/>
        <v>25719.131365829009</v>
      </c>
      <c r="AA46" s="3">
        <f t="shared" si="19"/>
        <v>17502.480000000018</v>
      </c>
      <c r="AB46" s="72">
        <f t="shared" si="19"/>
        <v>43221.611365829005</v>
      </c>
    </row>
    <row r="47" spans="1:28" x14ac:dyDescent="0.25">
      <c r="B47" s="2"/>
      <c r="C47" s="2"/>
      <c r="D47" s="3"/>
      <c r="E47" s="3">
        <f>E46+D46</f>
        <v>4192000</v>
      </c>
      <c r="H47" s="3"/>
      <c r="K47" s="3"/>
      <c r="M47" s="3"/>
      <c r="N47" s="3"/>
      <c r="T47" s="73"/>
      <c r="X47" s="73"/>
      <c r="AB47" s="73"/>
    </row>
    <row r="48" spans="1:28" x14ac:dyDescent="0.25">
      <c r="A48">
        <v>2025</v>
      </c>
      <c r="B48" s="2"/>
      <c r="C48" s="2"/>
      <c r="D48" s="3"/>
      <c r="E48" s="3"/>
      <c r="H48" s="3"/>
      <c r="K48" s="3"/>
      <c r="M48" s="3">
        <f>$F$77*4</f>
        <v>107472.96000000001</v>
      </c>
      <c r="N48" s="3"/>
      <c r="O48" s="10">
        <f>$F$61*4</f>
        <v>267285.09840246959</v>
      </c>
      <c r="P48" s="10">
        <f t="shared" ref="P48:P51" si="20">SUM(M48:O48)</f>
        <v>374758.05840246961</v>
      </c>
      <c r="Q48" s="10"/>
      <c r="R48" s="10">
        <f>$H$66*P48</f>
        <v>1167.1283832561433</v>
      </c>
      <c r="S48" s="10">
        <f>($H$73+$E$73)*4</f>
        <v>861.12</v>
      </c>
      <c r="T48" s="70">
        <f t="shared" ref="T48:T51" si="21">SUM(R48:S48)</f>
        <v>2028.2483832561434</v>
      </c>
      <c r="V48" s="42">
        <f>$H$67*P48</f>
        <v>2059.6383233931938</v>
      </c>
      <c r="W48" s="10">
        <f>($H$74+$E$74)*4</f>
        <v>1517.76</v>
      </c>
      <c r="X48" s="74">
        <f t="shared" ref="X48:X51" si="22">SUM(V48:W48)</f>
        <v>3577.398323393194</v>
      </c>
      <c r="Z48" s="42">
        <f>$H$68*P48</f>
        <v>2567.682443163515</v>
      </c>
      <c r="AA48" s="10">
        <f>($H$75+$E$75)*4</f>
        <v>1892.16</v>
      </c>
      <c r="AB48" s="74">
        <f t="shared" ref="AB48:AB51" si="23">SUM(Z48:AA48)</f>
        <v>4459.8424431635149</v>
      </c>
    </row>
    <row r="49" spans="1:29" x14ac:dyDescent="0.25">
      <c r="A49">
        <v>2026</v>
      </c>
      <c r="B49" s="2"/>
      <c r="C49" s="2"/>
      <c r="D49" s="3"/>
      <c r="E49" s="3"/>
      <c r="H49" s="3"/>
      <c r="K49" s="3"/>
      <c r="M49" s="3">
        <f t="shared" ref="M49:M51" si="24">$F$77*4</f>
        <v>107472.96000000001</v>
      </c>
      <c r="N49" s="3"/>
      <c r="O49" s="10">
        <f>$F$61*4</f>
        <v>267285.09840246959</v>
      </c>
      <c r="P49" s="10">
        <f t="shared" si="20"/>
        <v>374758.05840246961</v>
      </c>
      <c r="Q49" s="10"/>
      <c r="R49" s="10">
        <f>$H$66*P49</f>
        <v>1167.1283832561433</v>
      </c>
      <c r="S49" s="10">
        <f>($H$73+$E$73)*4</f>
        <v>861.12</v>
      </c>
      <c r="T49" s="70">
        <f t="shared" si="21"/>
        <v>2028.2483832561434</v>
      </c>
      <c r="V49" s="42">
        <f>$H$67*P49</f>
        <v>2059.6383233931938</v>
      </c>
      <c r="W49" s="10">
        <f>($H$74+$E$74)*4</f>
        <v>1517.76</v>
      </c>
      <c r="X49" s="74">
        <f t="shared" si="22"/>
        <v>3577.398323393194</v>
      </c>
      <c r="Z49" s="42">
        <f>$H$68*P49</f>
        <v>2567.682443163515</v>
      </c>
      <c r="AA49" s="10">
        <f>($H$75+$E$75)*4</f>
        <v>1892.16</v>
      </c>
      <c r="AB49" s="74">
        <f t="shared" si="23"/>
        <v>4459.8424431635149</v>
      </c>
    </row>
    <row r="50" spans="1:29" x14ac:dyDescent="0.25">
      <c r="A50">
        <v>2027</v>
      </c>
      <c r="B50" s="2"/>
      <c r="C50" s="2"/>
      <c r="D50" s="3"/>
      <c r="E50" s="3"/>
      <c r="H50" s="3"/>
      <c r="K50" s="3" t="s">
        <v>43</v>
      </c>
      <c r="M50" s="3">
        <f t="shared" si="24"/>
        <v>107472.96000000001</v>
      </c>
      <c r="N50" s="3"/>
      <c r="O50" s="10">
        <f>$F$61*4</f>
        <v>267285.09840246959</v>
      </c>
      <c r="P50" s="10">
        <f t="shared" si="20"/>
        <v>374758.05840246961</v>
      </c>
      <c r="Q50" s="10"/>
      <c r="R50" s="10">
        <f>$H$66*P50</f>
        <v>1167.1283832561433</v>
      </c>
      <c r="S50" s="10">
        <f>($H$73+$E$73)*4</f>
        <v>861.12</v>
      </c>
      <c r="T50" s="70">
        <f t="shared" si="21"/>
        <v>2028.2483832561434</v>
      </c>
      <c r="V50" s="42">
        <f>$H$67*P50</f>
        <v>2059.6383233931938</v>
      </c>
      <c r="W50" s="10">
        <f>($H$74+$E$74)*4</f>
        <v>1517.76</v>
      </c>
      <c r="X50" s="74">
        <f t="shared" si="22"/>
        <v>3577.398323393194</v>
      </c>
      <c r="Z50" s="42">
        <f>$H$68*P50</f>
        <v>2567.682443163515</v>
      </c>
      <c r="AA50" s="10">
        <f>($H$75+$E$75)*4</f>
        <v>1892.16</v>
      </c>
      <c r="AB50" s="74">
        <f t="shared" si="23"/>
        <v>4459.8424431635149</v>
      </c>
    </row>
    <row r="51" spans="1:29" x14ac:dyDescent="0.25">
      <c r="A51">
        <v>2028</v>
      </c>
      <c r="B51" s="2"/>
      <c r="C51" s="2"/>
      <c r="D51" s="3"/>
      <c r="E51" s="3"/>
      <c r="H51" s="3"/>
      <c r="K51" s="3"/>
      <c r="M51" s="3">
        <f t="shared" si="24"/>
        <v>107472.96000000001</v>
      </c>
      <c r="N51" s="3"/>
      <c r="O51" s="10">
        <f>$F$61*4</f>
        <v>267285.09840246959</v>
      </c>
      <c r="P51" s="10">
        <f t="shared" si="20"/>
        <v>374758.05840246961</v>
      </c>
      <c r="Q51" s="10"/>
      <c r="R51" s="10">
        <f>$H$66*P51</f>
        <v>1167.1283832561433</v>
      </c>
      <c r="S51" s="10">
        <f>($H$73+$E$73)*4</f>
        <v>861.12</v>
      </c>
      <c r="T51" s="70">
        <f t="shared" si="21"/>
        <v>2028.2483832561434</v>
      </c>
      <c r="V51" s="42">
        <f>$H$67*P51</f>
        <v>2059.6383233931938</v>
      </c>
      <c r="W51" s="10">
        <f>($H$74+$E$74)*4</f>
        <v>1517.76</v>
      </c>
      <c r="X51" s="74">
        <f t="shared" si="22"/>
        <v>3577.398323393194</v>
      </c>
      <c r="Z51" s="42">
        <f>$H$68*P51</f>
        <v>2567.682443163515</v>
      </c>
      <c r="AA51" s="10">
        <f>($H$75+$E$75)*4</f>
        <v>1892.16</v>
      </c>
      <c r="AB51" s="74">
        <f t="shared" si="23"/>
        <v>4459.8424431635149</v>
      </c>
    </row>
    <row r="52" spans="1:29" x14ac:dyDescent="0.25">
      <c r="B52" s="2"/>
      <c r="C52" s="2"/>
      <c r="D52" s="3"/>
      <c r="E52" s="3"/>
      <c r="H52" s="3"/>
      <c r="K52" s="3"/>
      <c r="M52" s="6"/>
      <c r="N52" s="8"/>
      <c r="O52" s="11"/>
      <c r="P52" s="11"/>
      <c r="Q52" s="20"/>
      <c r="R52" s="11"/>
      <c r="S52" s="11"/>
      <c r="T52" s="71"/>
      <c r="V52" s="43"/>
      <c r="W52" s="11"/>
      <c r="X52" s="75"/>
      <c r="Z52" s="43"/>
      <c r="AA52" s="11"/>
      <c r="AB52" s="75"/>
    </row>
    <row r="53" spans="1:29" x14ac:dyDescent="0.25">
      <c r="B53" s="2"/>
      <c r="C53" s="2"/>
      <c r="D53" s="3"/>
      <c r="E53" s="3"/>
      <c r="H53" s="3"/>
      <c r="K53" s="3"/>
      <c r="M53" s="3">
        <f>SUM(M46:M52)</f>
        <v>1424016.7199999997</v>
      </c>
      <c r="N53" s="8"/>
      <c r="O53" s="3">
        <f>SUM(O46:O52)</f>
        <v>2672850.9840246951</v>
      </c>
      <c r="P53" s="3">
        <f>SUM(P46:P52)</f>
        <v>5252806.5275541088</v>
      </c>
      <c r="Q53" s="3"/>
      <c r="R53" s="3">
        <f>SUM(R46:R52)</f>
        <v>16359.129608401397</v>
      </c>
      <c r="S53" s="3">
        <f>SUM(S46:S52)</f>
        <v>11409.84</v>
      </c>
      <c r="T53" s="72">
        <f>SUM(T46:T52)</f>
        <v>27768.969608401392</v>
      </c>
      <c r="V53" s="3">
        <f>SUM(V46:V52)</f>
        <v>28868.87107364952</v>
      </c>
      <c r="W53" s="3">
        <f>SUM(W46:W52)</f>
        <v>20110.32</v>
      </c>
      <c r="X53" s="72">
        <f>SUM(X46:X52)</f>
        <v>48979.191073649505</v>
      </c>
      <c r="Z53" s="3">
        <f>SUM(Z46:Z52)</f>
        <v>35989.861138483073</v>
      </c>
      <c r="AA53" s="3">
        <f>SUM(AA46:AA52)</f>
        <v>25071.120000000017</v>
      </c>
      <c r="AB53" s="72">
        <f>SUM(AB46:AB52)</f>
        <v>61060.981138483061</v>
      </c>
    </row>
    <row r="54" spans="1:29" x14ac:dyDescent="0.25">
      <c r="B54" s="2"/>
      <c r="C54" s="2"/>
      <c r="D54" s="3"/>
      <c r="E54" s="3"/>
      <c r="H54" s="3"/>
      <c r="K54" s="3"/>
      <c r="M54" s="3"/>
      <c r="N54" s="8"/>
      <c r="O54" s="3"/>
      <c r="P54" s="3"/>
      <c r="Q54" s="3"/>
      <c r="R54" s="3"/>
      <c r="S54" s="3"/>
      <c r="T54" s="38"/>
      <c r="U54" s="93"/>
      <c r="V54" s="38"/>
      <c r="W54" s="38"/>
      <c r="X54" s="38"/>
      <c r="Y54" s="93"/>
      <c r="Z54" s="38"/>
      <c r="AA54" s="38"/>
      <c r="AB54" s="38"/>
      <c r="AC54" s="93"/>
    </row>
    <row r="55" spans="1:29" x14ac:dyDescent="0.25">
      <c r="B55" s="2"/>
      <c r="C55" s="2"/>
      <c r="D55" s="3"/>
      <c r="E55" s="3"/>
      <c r="H55" s="3"/>
      <c r="K55" s="3"/>
      <c r="M55" s="3"/>
      <c r="N55" s="3"/>
    </row>
    <row r="56" spans="1:29" x14ac:dyDescent="0.25">
      <c r="B56" s="2"/>
      <c r="C56" s="12" t="s">
        <v>35</v>
      </c>
      <c r="D56" s="13"/>
      <c r="E56" s="13"/>
      <c r="F56" s="46">
        <v>2100000</v>
      </c>
      <c r="G56" s="23"/>
      <c r="H56" s="3"/>
      <c r="K56" s="3"/>
      <c r="M56" s="3"/>
      <c r="N56" s="3"/>
    </row>
    <row r="57" spans="1:29" x14ac:dyDescent="0.25">
      <c r="B57" s="2"/>
      <c r="C57" s="14" t="s">
        <v>39</v>
      </c>
      <c r="D57" s="8"/>
      <c r="E57" s="8"/>
      <c r="F57" s="45">
        <v>0.05</v>
      </c>
      <c r="G57" s="24"/>
      <c r="H57" s="3"/>
      <c r="K57" s="3"/>
      <c r="M57" s="3"/>
      <c r="N57" s="3"/>
    </row>
    <row r="58" spans="1:29" x14ac:dyDescent="0.25">
      <c r="B58" s="2"/>
      <c r="C58" s="14" t="s">
        <v>37</v>
      </c>
      <c r="D58" s="8"/>
      <c r="E58" s="8"/>
      <c r="F58" s="44">
        <v>10</v>
      </c>
      <c r="G58" s="23"/>
      <c r="H58" s="3"/>
      <c r="K58" s="3"/>
      <c r="M58" s="3"/>
      <c r="N58" s="3"/>
    </row>
    <row r="59" spans="1:29" x14ac:dyDescent="0.25">
      <c r="B59" s="2"/>
      <c r="C59" s="14" t="s">
        <v>38</v>
      </c>
      <c r="D59" s="8"/>
      <c r="E59" s="8"/>
      <c r="F59" s="16">
        <v>5</v>
      </c>
      <c r="G59" s="23"/>
      <c r="H59" s="3"/>
      <c r="K59" s="3"/>
      <c r="M59" s="3"/>
      <c r="N59" s="3"/>
    </row>
    <row r="60" spans="1:29" x14ac:dyDescent="0.25">
      <c r="B60" s="2"/>
      <c r="C60" s="14" t="s">
        <v>42</v>
      </c>
      <c r="D60" s="8"/>
      <c r="E60" s="8"/>
      <c r="F60" s="18">
        <f>PMT(F57/12,F58*12,F56,0)*-1</f>
        <v>22273.758200205801</v>
      </c>
      <c r="G60" s="25"/>
      <c r="H60" s="3"/>
      <c r="K60" s="3"/>
      <c r="M60" s="3"/>
      <c r="N60" s="3"/>
      <c r="R60" s="3"/>
    </row>
    <row r="61" spans="1:29" x14ac:dyDescent="0.25">
      <c r="B61" s="2"/>
      <c r="C61" s="14" t="s">
        <v>47</v>
      </c>
      <c r="D61" s="8"/>
      <c r="E61" s="8"/>
      <c r="F61" s="18">
        <f>F60*3</f>
        <v>66821.274600617398</v>
      </c>
      <c r="G61" s="25"/>
      <c r="H61" s="3"/>
      <c r="K61" s="3"/>
      <c r="M61" s="8"/>
      <c r="N61" s="3"/>
    </row>
    <row r="62" spans="1:29" x14ac:dyDescent="0.25">
      <c r="B62" s="2"/>
      <c r="C62" s="17" t="s">
        <v>36</v>
      </c>
      <c r="D62" s="6"/>
      <c r="E62" s="6"/>
      <c r="F62" s="27">
        <f>FV(F57/12,F59*12,F60*-1,F56)*-1</f>
        <v>1180302.1795172696</v>
      </c>
      <c r="G62" s="26"/>
      <c r="H62" s="3"/>
      <c r="K62" s="3"/>
      <c r="M62" s="3"/>
      <c r="N62" s="3"/>
    </row>
    <row r="63" spans="1:29" x14ac:dyDescent="0.25">
      <c r="B63" s="2"/>
      <c r="C63" s="2"/>
      <c r="D63" s="3"/>
      <c r="E63" s="3"/>
      <c r="H63" s="3"/>
      <c r="K63" s="3"/>
      <c r="M63" s="59"/>
      <c r="N63" s="59"/>
      <c r="O63" s="49"/>
      <c r="P63" s="60"/>
      <c r="R63" s="10"/>
    </row>
    <row r="64" spans="1:29" x14ac:dyDescent="0.25">
      <c r="B64" s="2"/>
      <c r="C64" s="28"/>
      <c r="D64" s="29"/>
      <c r="E64" s="29"/>
      <c r="F64" s="30"/>
      <c r="G64" s="30" t="s">
        <v>26</v>
      </c>
      <c r="H64" s="30" t="s">
        <v>31</v>
      </c>
      <c r="I64" s="117" t="s">
        <v>34</v>
      </c>
      <c r="J64" s="118"/>
      <c r="K64" s="119" t="s">
        <v>33</v>
      </c>
      <c r="M64" s="8"/>
      <c r="N64" s="47"/>
      <c r="O64" s="48"/>
      <c r="P64" s="48"/>
      <c r="Q64" s="49"/>
      <c r="R64" s="47"/>
      <c r="S64" s="48"/>
      <c r="T64" s="48"/>
    </row>
    <row r="65" spans="2:20" x14ac:dyDescent="0.25">
      <c r="B65" s="2"/>
      <c r="C65" s="31" t="s">
        <v>25</v>
      </c>
      <c r="D65" s="19" t="s">
        <v>26</v>
      </c>
      <c r="E65" s="19" t="s">
        <v>27</v>
      </c>
      <c r="F65" s="19" t="s">
        <v>28</v>
      </c>
      <c r="G65" s="19" t="s">
        <v>29</v>
      </c>
      <c r="H65" s="19" t="s">
        <v>30</v>
      </c>
      <c r="I65" s="120" t="s">
        <v>33</v>
      </c>
      <c r="J65" s="121"/>
      <c r="K65" s="122" t="s">
        <v>72</v>
      </c>
      <c r="M65" s="19"/>
      <c r="N65" s="39"/>
      <c r="O65" s="40"/>
    </row>
    <row r="66" spans="2:20" x14ac:dyDescent="0.25">
      <c r="B66" s="2"/>
      <c r="C66" s="76">
        <v>40</v>
      </c>
      <c r="D66" s="8">
        <v>680</v>
      </c>
      <c r="E66" s="8">
        <v>187</v>
      </c>
      <c r="F66" s="20">
        <f>E66*D66</f>
        <v>127160</v>
      </c>
      <c r="G66" s="33">
        <f>F66/F69</f>
        <v>0.58238376140402304</v>
      </c>
      <c r="H66" s="35">
        <f>G66/E66</f>
        <v>3.1143516652621553E-3</v>
      </c>
      <c r="I66" s="123">
        <f>F56*H66</f>
        <v>6540.138497050526</v>
      </c>
      <c r="J66" s="121"/>
      <c r="K66" s="124">
        <f>($F$60*12*$F$58)*H66</f>
        <v>8324.1979130949021</v>
      </c>
      <c r="M66" s="50"/>
      <c r="N66" s="51"/>
      <c r="O66" s="51"/>
      <c r="P66" s="58"/>
      <c r="Q66" s="9"/>
      <c r="R66" s="51"/>
      <c r="S66" s="51"/>
      <c r="T66" s="51"/>
    </row>
    <row r="67" spans="2:20" x14ac:dyDescent="0.25">
      <c r="B67" s="2"/>
      <c r="C67" s="76">
        <v>60</v>
      </c>
      <c r="D67" s="8">
        <v>1200</v>
      </c>
      <c r="E67" s="8">
        <v>71</v>
      </c>
      <c r="F67" s="20">
        <f t="shared" ref="F67:F68" si="25">E67*D67</f>
        <v>85200</v>
      </c>
      <c r="G67" s="33">
        <f>F67/F69</f>
        <v>0.39020994394167002</v>
      </c>
      <c r="H67" s="35">
        <f>G67/E67</f>
        <v>5.4959147034038033E-3</v>
      </c>
      <c r="I67" s="123">
        <f>F56*H67</f>
        <v>11541.420877147986</v>
      </c>
      <c r="J67" s="121"/>
      <c r="K67" s="124">
        <f t="shared" ref="K67:K68" si="26">($F$60*12*$F$58)*H67</f>
        <v>14689.761023108651</v>
      </c>
      <c r="M67" s="50"/>
      <c r="N67" s="51"/>
      <c r="O67" s="51"/>
      <c r="P67" s="58"/>
      <c r="Q67" s="9"/>
      <c r="R67" s="51"/>
      <c r="S67" s="51"/>
      <c r="T67" s="51"/>
    </row>
    <row r="68" spans="2:20" x14ac:dyDescent="0.25">
      <c r="B68" s="2"/>
      <c r="C68" s="76">
        <v>88</v>
      </c>
      <c r="D68" s="8">
        <v>1496</v>
      </c>
      <c r="E68" s="8">
        <v>4</v>
      </c>
      <c r="F68" s="20">
        <f t="shared" si="25"/>
        <v>5984</v>
      </c>
      <c r="G68" s="33">
        <f>F68/F69</f>
        <v>2.7406294654306964E-2</v>
      </c>
      <c r="H68" s="35">
        <f>G68/E68</f>
        <v>6.851573663576741E-3</v>
      </c>
      <c r="I68" s="123">
        <f>F56*H68</f>
        <v>14388.304693511156</v>
      </c>
      <c r="J68" s="121"/>
      <c r="K68" s="124">
        <f t="shared" si="26"/>
        <v>18313.235408808785</v>
      </c>
      <c r="M68" s="50"/>
      <c r="N68" s="52"/>
      <c r="O68" s="51"/>
      <c r="P68" s="52"/>
      <c r="Q68" s="9"/>
      <c r="R68" s="52"/>
      <c r="S68" s="52"/>
      <c r="T68" s="52"/>
    </row>
    <row r="69" spans="2:20" x14ac:dyDescent="0.25">
      <c r="B69" s="2"/>
      <c r="C69" s="34"/>
      <c r="D69" s="6"/>
      <c r="E69" s="6"/>
      <c r="F69" s="6">
        <f>SUM(F66:F68)</f>
        <v>218344</v>
      </c>
      <c r="G69" s="21"/>
      <c r="H69" s="21"/>
      <c r="I69" s="21"/>
      <c r="J69" s="21"/>
      <c r="K69" s="27"/>
      <c r="M69" s="41"/>
      <c r="N69" s="37"/>
      <c r="O69" s="41"/>
    </row>
    <row r="70" spans="2:20" ht="15.75" thickBot="1" x14ac:dyDescent="0.3">
      <c r="B70" s="2"/>
      <c r="C70" s="2"/>
      <c r="D70" s="3"/>
      <c r="E70" s="3"/>
      <c r="H70" s="3"/>
      <c r="K70" s="3"/>
      <c r="M70" s="41"/>
      <c r="N70" s="37"/>
      <c r="O70" s="41"/>
    </row>
    <row r="71" spans="2:20" ht="15.75" thickBot="1" x14ac:dyDescent="0.3">
      <c r="B71" s="2"/>
      <c r="C71" s="106" t="s">
        <v>58</v>
      </c>
      <c r="D71" s="65">
        <v>2015</v>
      </c>
      <c r="E71" s="54" t="s">
        <v>61</v>
      </c>
      <c r="F71" s="55" t="s">
        <v>4</v>
      </c>
      <c r="G71" s="55" t="s">
        <v>62</v>
      </c>
      <c r="H71" s="55">
        <v>2015</v>
      </c>
      <c r="I71" s="55" t="s">
        <v>64</v>
      </c>
      <c r="J71" s="84"/>
      <c r="K71" s="54" t="s">
        <v>63</v>
      </c>
      <c r="L71" s="84"/>
      <c r="M71" s="111" t="s">
        <v>80</v>
      </c>
      <c r="N71" s="127" t="s">
        <v>78</v>
      </c>
      <c r="O71" s="128" t="s">
        <v>79</v>
      </c>
    </row>
    <row r="72" spans="2:20" x14ac:dyDescent="0.25">
      <c r="B72" s="2"/>
      <c r="C72" s="31" t="s">
        <v>25</v>
      </c>
      <c r="D72" s="66" t="s">
        <v>49</v>
      </c>
      <c r="E72" s="56" t="s">
        <v>3</v>
      </c>
      <c r="F72" s="83" t="s">
        <v>3</v>
      </c>
      <c r="G72" s="56" t="s">
        <v>3</v>
      </c>
      <c r="H72" s="56" t="s">
        <v>56</v>
      </c>
      <c r="I72" s="53" t="s">
        <v>55</v>
      </c>
      <c r="J72" s="15"/>
      <c r="K72" s="56" t="s">
        <v>3</v>
      </c>
      <c r="L72" s="15"/>
      <c r="M72" s="129" t="s">
        <v>49</v>
      </c>
      <c r="N72" s="129" t="s">
        <v>67</v>
      </c>
      <c r="O72" s="122" t="s">
        <v>67</v>
      </c>
    </row>
    <row r="73" spans="2:20" x14ac:dyDescent="0.25">
      <c r="B73" s="2"/>
      <c r="C73" s="32">
        <v>40</v>
      </c>
      <c r="D73" s="62">
        <v>299</v>
      </c>
      <c r="E73" s="8">
        <f>D73*$E$76</f>
        <v>26.91</v>
      </c>
      <c r="F73" s="20">
        <f>D73*$F$76</f>
        <v>83.720000000000013</v>
      </c>
      <c r="G73" s="8">
        <f>D73*$G$76</f>
        <v>110.63</v>
      </c>
      <c r="H73" s="8">
        <f>D73*$H$76</f>
        <v>188.37</v>
      </c>
      <c r="I73" s="8">
        <v>100</v>
      </c>
      <c r="J73" s="15"/>
      <c r="K73" s="79">
        <f>I73+F73</f>
        <v>183.72000000000003</v>
      </c>
      <c r="L73" s="15"/>
      <c r="M73" s="123">
        <f>D73+I73</f>
        <v>399</v>
      </c>
      <c r="N73" s="123">
        <f>T45</f>
        <v>607.06209581403584</v>
      </c>
      <c r="O73" s="130">
        <f>T48/4</f>
        <v>507.06209581403584</v>
      </c>
    </row>
    <row r="74" spans="2:20" x14ac:dyDescent="0.25">
      <c r="B74" s="2"/>
      <c r="C74" s="32">
        <v>60</v>
      </c>
      <c r="D74" s="62">
        <v>527</v>
      </c>
      <c r="E74" s="8">
        <f>D74*$E$76</f>
        <v>47.43</v>
      </c>
      <c r="F74" s="20">
        <f>D74*$F$76</f>
        <v>147.56</v>
      </c>
      <c r="G74" s="8">
        <f>D74*$G$76</f>
        <v>194.99</v>
      </c>
      <c r="H74" s="8">
        <f>D74*$H$76</f>
        <v>332.01</v>
      </c>
      <c r="I74" s="8">
        <f>D67*100/D66</f>
        <v>176.47058823529412</v>
      </c>
      <c r="J74" s="15"/>
      <c r="K74" s="79">
        <f>I74+F74</f>
        <v>324.03058823529409</v>
      </c>
      <c r="L74" s="15"/>
      <c r="M74" s="123">
        <f t="shared" ref="M74:M75" si="27">D74+I74</f>
        <v>703.47058823529414</v>
      </c>
      <c r="N74" s="123">
        <f>X45</f>
        <v>1070.8201690835926</v>
      </c>
      <c r="O74" s="130">
        <f>X48/4</f>
        <v>894.3495808482985</v>
      </c>
    </row>
    <row r="75" spans="2:20" x14ac:dyDescent="0.25">
      <c r="B75" s="2"/>
      <c r="C75" s="32">
        <v>88</v>
      </c>
      <c r="D75" s="62">
        <v>657</v>
      </c>
      <c r="E75" s="8">
        <f>D75*$E$76</f>
        <v>59.129999999999995</v>
      </c>
      <c r="F75" s="20">
        <f>D75*$F$76</f>
        <v>183.96</v>
      </c>
      <c r="G75" s="8">
        <f>D75*$G$76</f>
        <v>243.09</v>
      </c>
      <c r="H75" s="8">
        <f>D75*$H$76</f>
        <v>413.91</v>
      </c>
      <c r="I75" s="8">
        <f>D68*100/D66</f>
        <v>220</v>
      </c>
      <c r="J75" s="15"/>
      <c r="K75" s="79">
        <f>I75+F75</f>
        <v>403.96000000000004</v>
      </c>
      <c r="L75" s="15"/>
      <c r="M75" s="123">
        <f t="shared" si="27"/>
        <v>877</v>
      </c>
      <c r="N75" s="123">
        <f>AB45</f>
        <v>1334.9606107908787</v>
      </c>
      <c r="O75" s="130">
        <f>AB48/4</f>
        <v>1114.9606107908787</v>
      </c>
    </row>
    <row r="76" spans="2:20" x14ac:dyDescent="0.25">
      <c r="B76" s="2"/>
      <c r="C76" s="57"/>
      <c r="D76" s="80">
        <v>1</v>
      </c>
      <c r="E76" s="81">
        <v>0.09</v>
      </c>
      <c r="F76" s="81">
        <v>0.28000000000000003</v>
      </c>
      <c r="G76" s="78">
        <v>0.37</v>
      </c>
      <c r="H76" s="81">
        <v>0.63</v>
      </c>
      <c r="I76" s="15"/>
      <c r="J76" s="15"/>
      <c r="K76" s="8"/>
      <c r="L76" s="15"/>
      <c r="M76" s="15"/>
      <c r="N76" s="8"/>
      <c r="O76" s="85"/>
    </row>
    <row r="77" spans="2:20" x14ac:dyDescent="0.25">
      <c r="B77" s="2"/>
      <c r="C77" s="61" t="s">
        <v>57</v>
      </c>
      <c r="D77" s="6">
        <f t="shared" ref="D77:I77" si="28">(D73*$E$66)+(D74*$E$67)+(D75*$E$68)</f>
        <v>95958</v>
      </c>
      <c r="E77" s="6">
        <f t="shared" si="28"/>
        <v>8636.2200000000012</v>
      </c>
      <c r="F77" s="6">
        <f t="shared" si="28"/>
        <v>26868.240000000002</v>
      </c>
      <c r="G77" s="6">
        <f t="shared" si="28"/>
        <v>35504.46</v>
      </c>
      <c r="H77" s="6">
        <f t="shared" si="28"/>
        <v>60453.54</v>
      </c>
      <c r="I77" s="6">
        <f t="shared" si="28"/>
        <v>32109.411764705881</v>
      </c>
      <c r="J77" s="21"/>
      <c r="K77" s="6">
        <f>(K73*$E$66)+(K74*$E$67)+(K75*$E$68)</f>
        <v>58977.651764705879</v>
      </c>
      <c r="L77" s="21"/>
      <c r="M77" s="6">
        <f>(M73*$E$66)+(M74*$E$67)+(M75*$E$68)</f>
        <v>128067.41176470587</v>
      </c>
      <c r="N77" s="6">
        <f>(N73*$E$66)+(N74*$E$67)+(N75*$E$68)</f>
        <v>194888.68636532329</v>
      </c>
      <c r="O77" s="27">
        <f>(O73*$E$66)+(O74*$E$67)+(O75*$E$68)</f>
        <v>162779.27460061741</v>
      </c>
    </row>
  </sheetData>
  <pageMargins left="0.7" right="0.7" top="0.75" bottom="0.75" header="0.3" footer="0.3"/>
  <pageSetup scale="53" fitToHeight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1"/>
  <sheetViews>
    <sheetView topLeftCell="D67" zoomScaleNormal="100" workbookViewId="0">
      <selection activeCell="H15" sqref="H15"/>
    </sheetView>
  </sheetViews>
  <sheetFormatPr defaultRowHeight="15" x14ac:dyDescent="0.25"/>
  <cols>
    <col min="1" max="1" width="5" customWidth="1"/>
    <col min="2" max="2" width="4.5703125" style="2" customWidth="1"/>
    <col min="3" max="3" width="10.85546875" style="2" customWidth="1"/>
    <col min="4" max="5" width="10.5703125" style="3" customWidth="1"/>
    <col min="6" max="6" width="10.28515625" customWidth="1"/>
    <col min="7" max="7" width="10.85546875" customWidth="1"/>
    <col min="8" max="8" width="11" style="3" customWidth="1"/>
    <col min="9" max="9" width="12.7109375" customWidth="1"/>
    <col min="10" max="10" width="1.5703125" customWidth="1"/>
    <col min="11" max="11" width="10.5703125" style="3" customWidth="1"/>
    <col min="12" max="12" width="1.5703125" customWidth="1"/>
    <col min="13" max="13" width="11" style="3" customWidth="1"/>
    <col min="14" max="14" width="10.5703125" style="3" customWidth="1"/>
    <col min="15" max="15" width="11.85546875" customWidth="1"/>
    <col min="16" max="16" width="10.7109375" customWidth="1"/>
    <col min="17" max="17" width="1.42578125" customWidth="1"/>
    <col min="18" max="18" width="8.42578125" customWidth="1"/>
    <col min="19" max="19" width="8.85546875" customWidth="1"/>
    <col min="20" max="20" width="10.42578125" customWidth="1"/>
    <col min="21" max="21" width="1.140625" customWidth="1"/>
    <col min="22" max="22" width="8" customWidth="1"/>
    <col min="23" max="23" width="8.42578125" customWidth="1"/>
    <col min="24" max="24" width="9.5703125" bestFit="1" customWidth="1"/>
    <col min="25" max="25" width="1" customWidth="1"/>
    <col min="26" max="26" width="8.5703125" customWidth="1"/>
    <col min="27" max="28" width="8.7109375" customWidth="1"/>
  </cols>
  <sheetData>
    <row r="1" spans="1:28" x14ac:dyDescent="0.25">
      <c r="C1" s="4" t="s">
        <v>22</v>
      </c>
    </row>
    <row r="2" spans="1:28" x14ac:dyDescent="0.25">
      <c r="A2" s="49" t="s">
        <v>101</v>
      </c>
      <c r="D2" s="7">
        <v>42468</v>
      </c>
    </row>
    <row r="3" spans="1:28" x14ac:dyDescent="0.25">
      <c r="R3" s="4" t="s">
        <v>51</v>
      </c>
      <c r="S3" s="4" t="s">
        <v>51</v>
      </c>
      <c r="T3" s="4" t="s">
        <v>51</v>
      </c>
      <c r="V3" s="4" t="s">
        <v>53</v>
      </c>
      <c r="W3" s="4" t="s">
        <v>53</v>
      </c>
      <c r="X3" s="4" t="s">
        <v>53</v>
      </c>
      <c r="Z3" s="4" t="s">
        <v>54</v>
      </c>
      <c r="AA3" s="4" t="s">
        <v>54</v>
      </c>
      <c r="AB3" s="4" t="s">
        <v>54</v>
      </c>
    </row>
    <row r="4" spans="1:28" s="4" customFormat="1" x14ac:dyDescent="0.25">
      <c r="D4" s="5"/>
      <c r="E4" s="5"/>
      <c r="F4" s="4" t="s">
        <v>40</v>
      </c>
      <c r="G4" s="4" t="s">
        <v>44</v>
      </c>
      <c r="H4" s="5"/>
      <c r="K4" s="5" t="s">
        <v>2</v>
      </c>
      <c r="M4" s="5" t="s">
        <v>49</v>
      </c>
      <c r="N4" s="5" t="s">
        <v>4</v>
      </c>
      <c r="P4" s="4" t="s">
        <v>4</v>
      </c>
      <c r="S4" s="4" t="s">
        <v>61</v>
      </c>
      <c r="T4" s="4" t="s">
        <v>50</v>
      </c>
      <c r="W4" s="4" t="s">
        <v>61</v>
      </c>
      <c r="X4" s="4" t="s">
        <v>50</v>
      </c>
      <c r="AA4" s="4" t="s">
        <v>61</v>
      </c>
      <c r="AB4" s="4" t="s">
        <v>50</v>
      </c>
    </row>
    <row r="5" spans="1:28" s="4" customFormat="1" x14ac:dyDescent="0.25">
      <c r="C5" s="4" t="s">
        <v>4</v>
      </c>
      <c r="D5" s="5" t="s">
        <v>18</v>
      </c>
      <c r="E5" s="5" t="s">
        <v>19</v>
      </c>
      <c r="F5" s="4" t="s">
        <v>60</v>
      </c>
      <c r="G5" s="4" t="s">
        <v>4</v>
      </c>
      <c r="H5" s="4" t="s">
        <v>74</v>
      </c>
      <c r="I5" s="5"/>
      <c r="J5" s="5"/>
      <c r="K5" s="5" t="s">
        <v>3</v>
      </c>
      <c r="M5" s="5" t="s">
        <v>3</v>
      </c>
      <c r="N5" s="5" t="s">
        <v>5</v>
      </c>
      <c r="O5" s="4" t="s">
        <v>74</v>
      </c>
      <c r="P5" s="4" t="s">
        <v>48</v>
      </c>
      <c r="S5" s="4" t="s">
        <v>65</v>
      </c>
      <c r="T5" s="4" t="s">
        <v>48</v>
      </c>
      <c r="W5" s="4" t="s">
        <v>65</v>
      </c>
      <c r="X5" s="4" t="s">
        <v>48</v>
      </c>
      <c r="AA5" s="4" t="s">
        <v>65</v>
      </c>
      <c r="AB5" s="4" t="s">
        <v>48</v>
      </c>
    </row>
    <row r="6" spans="1:28" s="4" customFormat="1" x14ac:dyDescent="0.25">
      <c r="A6" s="4" t="s">
        <v>1</v>
      </c>
      <c r="B6" s="4" t="s">
        <v>0</v>
      </c>
      <c r="C6" s="4" t="s">
        <v>7</v>
      </c>
      <c r="D6" s="4" t="s">
        <v>59</v>
      </c>
      <c r="E6" s="4" t="s">
        <v>59</v>
      </c>
      <c r="F6" s="5" t="s">
        <v>41</v>
      </c>
      <c r="G6" s="4" t="s">
        <v>45</v>
      </c>
      <c r="H6" s="5" t="s">
        <v>73</v>
      </c>
      <c r="K6" s="5" t="s">
        <v>6</v>
      </c>
      <c r="M6" s="5" t="s">
        <v>20</v>
      </c>
      <c r="N6" s="4" t="s">
        <v>20</v>
      </c>
      <c r="O6" s="5" t="s">
        <v>73</v>
      </c>
      <c r="P6" s="4" t="s">
        <v>44</v>
      </c>
      <c r="R6" s="4" t="s">
        <v>4</v>
      </c>
      <c r="S6" s="4" t="s">
        <v>52</v>
      </c>
      <c r="T6" s="4" t="s">
        <v>44</v>
      </c>
      <c r="V6" s="4" t="s">
        <v>4</v>
      </c>
      <c r="W6" s="4" t="s">
        <v>52</v>
      </c>
      <c r="X6" s="4" t="s">
        <v>44</v>
      </c>
      <c r="Z6" s="4" t="s">
        <v>4</v>
      </c>
      <c r="AA6" s="4" t="s">
        <v>52</v>
      </c>
      <c r="AB6" s="4" t="s">
        <v>44</v>
      </c>
    </row>
    <row r="7" spans="1:28" x14ac:dyDescent="0.25">
      <c r="F7" s="3"/>
      <c r="I7" s="22"/>
      <c r="J7" s="22"/>
    </row>
    <row r="8" spans="1:28" x14ac:dyDescent="0.25">
      <c r="F8" s="3"/>
      <c r="I8" s="3"/>
      <c r="J8" s="3"/>
      <c r="K8" s="3">
        <v>471380</v>
      </c>
      <c r="S8" s="9"/>
    </row>
    <row r="9" spans="1:28" x14ac:dyDescent="0.25">
      <c r="A9">
        <v>2015</v>
      </c>
      <c r="B9" s="2">
        <v>4</v>
      </c>
      <c r="D9" s="3">
        <v>65000</v>
      </c>
      <c r="F9" s="3">
        <v>20000</v>
      </c>
      <c r="G9" s="10">
        <f>SUM(D9:F9)</f>
        <v>85000</v>
      </c>
      <c r="I9" s="3"/>
      <c r="J9" s="3"/>
      <c r="K9" s="3">
        <f>K8-G9-I9+H9+SUM(M9:N9)</f>
        <v>413248.24</v>
      </c>
      <c r="M9" s="3">
        <f>$F$64</f>
        <v>26868.240000000002</v>
      </c>
      <c r="O9" s="10">
        <f t="shared" ref="O9:O13" si="0">H9</f>
        <v>0</v>
      </c>
      <c r="P9" s="10">
        <f>SUM(M9:O9)</f>
        <v>26868.240000000002</v>
      </c>
      <c r="Q9" s="10"/>
      <c r="R9" s="10">
        <f>F60</f>
        <v>83.720000000000013</v>
      </c>
      <c r="S9" s="10">
        <f>$H$60+$E$60</f>
        <v>215.28</v>
      </c>
      <c r="T9" s="70">
        <f>SUM(R9:S9)</f>
        <v>299</v>
      </c>
      <c r="V9" s="42">
        <f>F61</f>
        <v>147.56</v>
      </c>
      <c r="W9" s="10">
        <f>$H$61+$E$61</f>
        <v>379.44</v>
      </c>
      <c r="X9" s="74">
        <v>527</v>
      </c>
      <c r="Z9" s="42">
        <f>F62</f>
        <v>183.96</v>
      </c>
      <c r="AA9" s="10">
        <f>$H$62+$E$62</f>
        <v>473.04</v>
      </c>
      <c r="AB9" s="73">
        <v>657</v>
      </c>
    </row>
    <row r="10" spans="1:28" x14ac:dyDescent="0.25">
      <c r="A10" s="1">
        <v>2016</v>
      </c>
      <c r="B10" s="2">
        <v>1</v>
      </c>
      <c r="F10" s="3"/>
      <c r="G10" s="10">
        <f t="shared" ref="G10:G41" si="1">SUM(D10:F10)</f>
        <v>0</v>
      </c>
      <c r="K10" s="3">
        <f t="shared" ref="K10:K45" si="2">K9-G10-I10+H10+SUM(M10:N10)</f>
        <v>472225.89176470588</v>
      </c>
      <c r="M10" s="3">
        <f t="shared" ref="M10:M45" si="3">$F$64</f>
        <v>26868.240000000002</v>
      </c>
      <c r="N10" s="3">
        <f t="shared" ref="N10:N45" si="4">$I$64</f>
        <v>32109.411764705881</v>
      </c>
      <c r="O10" s="10">
        <f t="shared" si="0"/>
        <v>0</v>
      </c>
      <c r="P10" s="10">
        <f t="shared" ref="P10:P45" si="5">SUM(M10:O10)</f>
        <v>58977.651764705879</v>
      </c>
      <c r="Q10" s="10"/>
      <c r="R10" s="10">
        <f t="shared" ref="R10:R45" si="6">$H$52*P10</f>
        <v>183.67714798666324</v>
      </c>
      <c r="S10" s="10">
        <f>$H$60+$E$60</f>
        <v>215.28</v>
      </c>
      <c r="T10" s="70">
        <f t="shared" ref="T10:T45" si="7">SUM(R10:S10)</f>
        <v>398.95714798666324</v>
      </c>
      <c r="V10" s="42">
        <f t="shared" ref="V10:V45" si="8">$H$53*P10</f>
        <v>324.1361435058763</v>
      </c>
      <c r="W10" s="10">
        <f t="shared" ref="W10:W45" si="9">$H$61+$E$61</f>
        <v>379.44</v>
      </c>
      <c r="X10" s="74">
        <f t="shared" ref="X10:X45" si="10">SUM(V10:W10)</f>
        <v>703.5761435058763</v>
      </c>
      <c r="Z10" s="42">
        <f t="shared" ref="Z10:Z45" si="11">$H$54*P10</f>
        <v>404.08972557065908</v>
      </c>
      <c r="AA10" s="10">
        <f t="shared" ref="AA10:AA45" si="12">$H$62+$E$62</f>
        <v>473.04</v>
      </c>
      <c r="AB10" s="74">
        <f>SUM(Z10:AA10)</f>
        <v>877.12972557065905</v>
      </c>
    </row>
    <row r="11" spans="1:28" x14ac:dyDescent="0.25">
      <c r="A11" s="1">
        <v>2016</v>
      </c>
      <c r="B11" s="2">
        <v>2</v>
      </c>
      <c r="C11" s="2" t="s">
        <v>8</v>
      </c>
      <c r="E11" s="3">
        <v>319000</v>
      </c>
      <c r="F11" s="3"/>
      <c r="G11" s="10">
        <f t="shared" si="1"/>
        <v>319000</v>
      </c>
      <c r="K11" s="3">
        <f>K10-G11-I11+H11+SUM(M11:N11)</f>
        <v>212203.54352941178</v>
      </c>
      <c r="M11" s="3">
        <f t="shared" si="3"/>
        <v>26868.240000000002</v>
      </c>
      <c r="N11" s="3">
        <f t="shared" si="4"/>
        <v>32109.411764705881</v>
      </c>
      <c r="O11" s="10">
        <f>H11</f>
        <v>0</v>
      </c>
      <c r="P11" s="10">
        <f t="shared" si="5"/>
        <v>58977.651764705879</v>
      </c>
      <c r="Q11" s="10"/>
      <c r="R11" s="10">
        <f t="shared" si="6"/>
        <v>183.67714798666324</v>
      </c>
      <c r="S11" s="10">
        <f t="shared" ref="S11:S45" si="13">$H$60+$E$60</f>
        <v>215.28</v>
      </c>
      <c r="T11" s="70">
        <f t="shared" si="7"/>
        <v>398.95714798666324</v>
      </c>
      <c r="V11" s="42">
        <f t="shared" si="8"/>
        <v>324.1361435058763</v>
      </c>
      <c r="W11" s="10">
        <f t="shared" si="9"/>
        <v>379.44</v>
      </c>
      <c r="X11" s="74">
        <f t="shared" si="10"/>
        <v>703.5761435058763</v>
      </c>
      <c r="Z11" s="42">
        <f t="shared" si="11"/>
        <v>404.08972557065908</v>
      </c>
      <c r="AA11" s="10">
        <f t="shared" si="12"/>
        <v>473.04</v>
      </c>
      <c r="AB11" s="74">
        <f t="shared" ref="AB11:AB45" si="14">SUM(Z11:AA11)</f>
        <v>877.12972557065905</v>
      </c>
    </row>
    <row r="12" spans="1:28" x14ac:dyDescent="0.25">
      <c r="A12" s="1">
        <v>2016</v>
      </c>
      <c r="B12" s="2">
        <v>3</v>
      </c>
      <c r="F12" s="3"/>
      <c r="G12" s="10">
        <f t="shared" si="1"/>
        <v>0</v>
      </c>
      <c r="K12" s="3">
        <f t="shared" si="2"/>
        <v>271181.19529411767</v>
      </c>
      <c r="M12" s="3">
        <f t="shared" si="3"/>
        <v>26868.240000000002</v>
      </c>
      <c r="N12" s="3">
        <f t="shared" si="4"/>
        <v>32109.411764705881</v>
      </c>
      <c r="O12" s="10">
        <f t="shared" si="0"/>
        <v>0</v>
      </c>
      <c r="P12" s="10">
        <f t="shared" si="5"/>
        <v>58977.651764705879</v>
      </c>
      <c r="Q12" s="10"/>
      <c r="R12" s="10">
        <f t="shared" si="6"/>
        <v>183.67714798666324</v>
      </c>
      <c r="S12" s="10">
        <f t="shared" si="13"/>
        <v>215.28</v>
      </c>
      <c r="T12" s="70">
        <f t="shared" si="7"/>
        <v>398.95714798666324</v>
      </c>
      <c r="V12" s="42">
        <f t="shared" si="8"/>
        <v>324.1361435058763</v>
      </c>
      <c r="W12" s="10">
        <f t="shared" si="9"/>
        <v>379.44</v>
      </c>
      <c r="X12" s="74">
        <f t="shared" si="10"/>
        <v>703.5761435058763</v>
      </c>
      <c r="Z12" s="42">
        <f t="shared" si="11"/>
        <v>404.08972557065908</v>
      </c>
      <c r="AA12" s="10">
        <f t="shared" si="12"/>
        <v>473.04</v>
      </c>
      <c r="AB12" s="74">
        <f t="shared" si="14"/>
        <v>877.12972557065905</v>
      </c>
    </row>
    <row r="13" spans="1:28" x14ac:dyDescent="0.25">
      <c r="A13" s="1">
        <v>2016</v>
      </c>
      <c r="B13" s="2">
        <v>4</v>
      </c>
      <c r="D13" s="3">
        <v>108000</v>
      </c>
      <c r="F13" s="3">
        <v>25000</v>
      </c>
      <c r="G13" s="10">
        <f t="shared" si="1"/>
        <v>133000</v>
      </c>
      <c r="H13" s="3">
        <v>0</v>
      </c>
      <c r="K13" s="3">
        <f t="shared" si="2"/>
        <v>197158.84705882357</v>
      </c>
      <c r="M13" s="3">
        <f t="shared" si="3"/>
        <v>26868.240000000002</v>
      </c>
      <c r="N13" s="3">
        <f t="shared" si="4"/>
        <v>32109.411764705881</v>
      </c>
      <c r="O13" s="10">
        <f t="shared" si="0"/>
        <v>0</v>
      </c>
      <c r="P13" s="10">
        <f t="shared" si="5"/>
        <v>58977.651764705879</v>
      </c>
      <c r="Q13" s="10"/>
      <c r="R13" s="10">
        <f t="shared" si="6"/>
        <v>183.67714798666324</v>
      </c>
      <c r="S13" s="10">
        <f t="shared" si="13"/>
        <v>215.28</v>
      </c>
      <c r="T13" s="70">
        <f t="shared" si="7"/>
        <v>398.95714798666324</v>
      </c>
      <c r="V13" s="42">
        <f t="shared" si="8"/>
        <v>324.1361435058763</v>
      </c>
      <c r="W13" s="10">
        <f t="shared" si="9"/>
        <v>379.44</v>
      </c>
      <c r="X13" s="74">
        <f t="shared" si="10"/>
        <v>703.5761435058763</v>
      </c>
      <c r="Z13" s="42">
        <f t="shared" si="11"/>
        <v>404.08972557065908</v>
      </c>
      <c r="AA13" s="10">
        <f t="shared" si="12"/>
        <v>473.04</v>
      </c>
      <c r="AB13" s="74">
        <f t="shared" si="14"/>
        <v>877.12972557065905</v>
      </c>
    </row>
    <row r="14" spans="1:28" x14ac:dyDescent="0.25">
      <c r="A14">
        <v>2017</v>
      </c>
      <c r="B14" s="2">
        <v>1</v>
      </c>
      <c r="F14" s="3"/>
      <c r="G14" s="10">
        <f t="shared" si="1"/>
        <v>0</v>
      </c>
      <c r="H14" s="3">
        <v>150000</v>
      </c>
      <c r="K14" s="3">
        <f>K13-G14-I14+H14+SUM(M14:N14)</f>
        <v>406136.49882352946</v>
      </c>
      <c r="M14" s="3">
        <f t="shared" si="3"/>
        <v>26868.240000000002</v>
      </c>
      <c r="N14" s="3">
        <f t="shared" si="4"/>
        <v>32109.411764705881</v>
      </c>
      <c r="O14" s="10">
        <f>H14</f>
        <v>150000</v>
      </c>
      <c r="P14" s="10">
        <f t="shared" si="5"/>
        <v>208977.65176470589</v>
      </c>
      <c r="Q14" s="10"/>
      <c r="R14" s="10">
        <f t="shared" si="6"/>
        <v>650.82989777598664</v>
      </c>
      <c r="S14" s="10">
        <f t="shared" si="13"/>
        <v>215.28</v>
      </c>
      <c r="T14" s="70">
        <f t="shared" si="7"/>
        <v>866.10989777598661</v>
      </c>
      <c r="V14" s="42">
        <f t="shared" si="8"/>
        <v>1148.5233490164469</v>
      </c>
      <c r="W14" s="10">
        <f t="shared" si="9"/>
        <v>379.44</v>
      </c>
      <c r="X14" s="74">
        <f t="shared" si="10"/>
        <v>1527.963349016447</v>
      </c>
      <c r="Z14" s="42">
        <f t="shared" si="11"/>
        <v>1431.8257751071703</v>
      </c>
      <c r="AA14" s="10">
        <f t="shared" si="12"/>
        <v>473.04</v>
      </c>
      <c r="AB14" s="74">
        <f t="shared" si="14"/>
        <v>1904.8657751071703</v>
      </c>
    </row>
    <row r="15" spans="1:28" x14ac:dyDescent="0.25">
      <c r="A15">
        <v>2017</v>
      </c>
      <c r="B15" s="2">
        <v>2</v>
      </c>
      <c r="C15" s="2" t="s">
        <v>9</v>
      </c>
      <c r="D15" s="3">
        <v>10000</v>
      </c>
      <c r="E15" s="3">
        <v>428000</v>
      </c>
      <c r="F15" s="3"/>
      <c r="G15" s="10">
        <f t="shared" si="1"/>
        <v>438000</v>
      </c>
      <c r="H15" s="3">
        <v>150000</v>
      </c>
      <c r="K15" s="3">
        <f>K14-G15-I15+H15+SUM(M15:N15)</f>
        <v>177114.15058823535</v>
      </c>
      <c r="M15" s="3">
        <f t="shared" si="3"/>
        <v>26868.240000000002</v>
      </c>
      <c r="N15" s="3">
        <f t="shared" si="4"/>
        <v>32109.411764705881</v>
      </c>
      <c r="O15" s="10">
        <f>H15</f>
        <v>150000</v>
      </c>
      <c r="P15" s="10">
        <f t="shared" si="5"/>
        <v>208977.65176470589</v>
      </c>
      <c r="Q15" s="10"/>
      <c r="R15" s="10">
        <f t="shared" si="6"/>
        <v>650.82989777598664</v>
      </c>
      <c r="S15" s="10">
        <f t="shared" si="13"/>
        <v>215.28</v>
      </c>
      <c r="T15" s="70">
        <f t="shared" si="7"/>
        <v>866.10989777598661</v>
      </c>
      <c r="V15" s="42">
        <f t="shared" si="8"/>
        <v>1148.5233490164469</v>
      </c>
      <c r="W15" s="10">
        <f t="shared" si="9"/>
        <v>379.44</v>
      </c>
      <c r="X15" s="74">
        <f t="shared" si="10"/>
        <v>1527.963349016447</v>
      </c>
      <c r="Z15" s="42">
        <f t="shared" si="11"/>
        <v>1431.8257751071703</v>
      </c>
      <c r="AA15" s="10">
        <f t="shared" si="12"/>
        <v>473.04</v>
      </c>
      <c r="AB15" s="74">
        <f t="shared" si="14"/>
        <v>1904.8657751071703</v>
      </c>
    </row>
    <row r="16" spans="1:28" x14ac:dyDescent="0.25">
      <c r="A16">
        <v>2017</v>
      </c>
      <c r="B16" s="2">
        <v>3</v>
      </c>
      <c r="F16" s="3"/>
      <c r="G16" s="10">
        <f t="shared" si="1"/>
        <v>0</v>
      </c>
      <c r="H16" s="3">
        <v>150000</v>
      </c>
      <c r="I16" s="10"/>
      <c r="J16" s="9"/>
      <c r="K16" s="3">
        <f t="shared" si="2"/>
        <v>386091.80235294125</v>
      </c>
      <c r="M16" s="3">
        <f t="shared" si="3"/>
        <v>26868.240000000002</v>
      </c>
      <c r="N16" s="3">
        <f t="shared" si="4"/>
        <v>32109.411764705881</v>
      </c>
      <c r="O16" s="10">
        <f t="shared" ref="O16:O44" si="15">H16</f>
        <v>150000</v>
      </c>
      <c r="P16" s="10">
        <f t="shared" si="5"/>
        <v>208977.65176470589</v>
      </c>
      <c r="Q16" s="10"/>
      <c r="R16" s="10">
        <f t="shared" si="6"/>
        <v>650.82989777598664</v>
      </c>
      <c r="S16" s="10">
        <f t="shared" si="13"/>
        <v>215.28</v>
      </c>
      <c r="T16" s="70">
        <f t="shared" si="7"/>
        <v>866.10989777598661</v>
      </c>
      <c r="V16" s="42">
        <f t="shared" si="8"/>
        <v>1148.5233490164469</v>
      </c>
      <c r="W16" s="10">
        <f t="shared" si="9"/>
        <v>379.44</v>
      </c>
      <c r="X16" s="74">
        <f t="shared" si="10"/>
        <v>1527.963349016447</v>
      </c>
      <c r="Z16" s="42">
        <f t="shared" si="11"/>
        <v>1431.8257751071703</v>
      </c>
      <c r="AA16" s="10">
        <f t="shared" si="12"/>
        <v>473.04</v>
      </c>
      <c r="AB16" s="74">
        <f t="shared" si="14"/>
        <v>1904.8657751071703</v>
      </c>
    </row>
    <row r="17" spans="1:28" x14ac:dyDescent="0.25">
      <c r="A17">
        <v>2017</v>
      </c>
      <c r="B17" s="2">
        <v>4</v>
      </c>
      <c r="C17" s="2" t="s">
        <v>14</v>
      </c>
      <c r="D17" s="3">
        <v>136000</v>
      </c>
      <c r="E17" s="3">
        <v>40000</v>
      </c>
      <c r="F17" s="3">
        <v>25000</v>
      </c>
      <c r="G17" s="10">
        <f t="shared" si="1"/>
        <v>201000</v>
      </c>
      <c r="H17" s="3">
        <v>150000</v>
      </c>
      <c r="I17" s="10"/>
      <c r="J17" s="9"/>
      <c r="K17" s="3">
        <f t="shared" si="2"/>
        <v>394069.45411764714</v>
      </c>
      <c r="M17" s="3">
        <f t="shared" si="3"/>
        <v>26868.240000000002</v>
      </c>
      <c r="N17" s="3">
        <f t="shared" si="4"/>
        <v>32109.411764705881</v>
      </c>
      <c r="O17" s="10">
        <f t="shared" si="15"/>
        <v>150000</v>
      </c>
      <c r="P17" s="10">
        <f t="shared" si="5"/>
        <v>208977.65176470589</v>
      </c>
      <c r="Q17" s="10"/>
      <c r="R17" s="10">
        <f t="shared" si="6"/>
        <v>650.82989777598664</v>
      </c>
      <c r="S17" s="10">
        <f t="shared" si="13"/>
        <v>215.28</v>
      </c>
      <c r="T17" s="70">
        <f t="shared" si="7"/>
        <v>866.10989777598661</v>
      </c>
      <c r="V17" s="42">
        <f t="shared" si="8"/>
        <v>1148.5233490164469</v>
      </c>
      <c r="W17" s="10">
        <f t="shared" si="9"/>
        <v>379.44</v>
      </c>
      <c r="X17" s="74">
        <f t="shared" si="10"/>
        <v>1527.963349016447</v>
      </c>
      <c r="Z17" s="42">
        <f t="shared" si="11"/>
        <v>1431.8257751071703</v>
      </c>
      <c r="AA17" s="10">
        <f t="shared" si="12"/>
        <v>473.04</v>
      </c>
      <c r="AB17" s="74">
        <f t="shared" si="14"/>
        <v>1904.8657751071703</v>
      </c>
    </row>
    <row r="18" spans="1:28" x14ac:dyDescent="0.25">
      <c r="A18">
        <v>2018</v>
      </c>
      <c r="B18" s="2">
        <v>1</v>
      </c>
      <c r="F18" s="3"/>
      <c r="G18" s="10">
        <f t="shared" si="1"/>
        <v>0</v>
      </c>
      <c r="H18" s="3">
        <v>150000</v>
      </c>
      <c r="I18" s="10"/>
      <c r="J18" s="9"/>
      <c r="K18" s="3">
        <f t="shared" si="2"/>
        <v>603047.10588235303</v>
      </c>
      <c r="M18" s="3">
        <f t="shared" si="3"/>
        <v>26868.240000000002</v>
      </c>
      <c r="N18" s="3">
        <f t="shared" si="4"/>
        <v>32109.411764705881</v>
      </c>
      <c r="O18" s="10">
        <f t="shared" si="15"/>
        <v>150000</v>
      </c>
      <c r="P18" s="10">
        <f t="shared" si="5"/>
        <v>208977.65176470589</v>
      </c>
      <c r="Q18" s="10"/>
      <c r="R18" s="10">
        <f t="shared" si="6"/>
        <v>650.82989777598664</v>
      </c>
      <c r="S18" s="10">
        <f t="shared" si="13"/>
        <v>215.28</v>
      </c>
      <c r="T18" s="70">
        <f t="shared" si="7"/>
        <v>866.10989777598661</v>
      </c>
      <c r="V18" s="42">
        <f t="shared" si="8"/>
        <v>1148.5233490164469</v>
      </c>
      <c r="W18" s="10">
        <f t="shared" si="9"/>
        <v>379.44</v>
      </c>
      <c r="X18" s="74">
        <f t="shared" si="10"/>
        <v>1527.963349016447</v>
      </c>
      <c r="Z18" s="42">
        <f t="shared" si="11"/>
        <v>1431.8257751071703</v>
      </c>
      <c r="AA18" s="10">
        <f t="shared" si="12"/>
        <v>473.04</v>
      </c>
      <c r="AB18" s="74">
        <f t="shared" si="14"/>
        <v>1904.8657751071703</v>
      </c>
    </row>
    <row r="19" spans="1:28" x14ac:dyDescent="0.25">
      <c r="A19">
        <v>2018</v>
      </c>
      <c r="B19" s="2">
        <v>2</v>
      </c>
      <c r="C19" s="2" t="s">
        <v>10</v>
      </c>
      <c r="D19" s="3">
        <v>77000</v>
      </c>
      <c r="E19" s="3">
        <v>544000</v>
      </c>
      <c r="F19" s="3"/>
      <c r="G19" s="10">
        <f t="shared" si="1"/>
        <v>621000</v>
      </c>
      <c r="H19" s="3">
        <v>150000</v>
      </c>
      <c r="I19" s="10"/>
      <c r="J19" s="9"/>
      <c r="K19" s="3">
        <f t="shared" si="2"/>
        <v>191024.75764705893</v>
      </c>
      <c r="M19" s="3">
        <f t="shared" si="3"/>
        <v>26868.240000000002</v>
      </c>
      <c r="N19" s="3">
        <f t="shared" si="4"/>
        <v>32109.411764705881</v>
      </c>
      <c r="O19" s="10">
        <f t="shared" si="15"/>
        <v>150000</v>
      </c>
      <c r="P19" s="10">
        <f t="shared" si="5"/>
        <v>208977.65176470589</v>
      </c>
      <c r="Q19" s="10"/>
      <c r="R19" s="10">
        <f t="shared" si="6"/>
        <v>650.82989777598664</v>
      </c>
      <c r="S19" s="10">
        <f t="shared" si="13"/>
        <v>215.28</v>
      </c>
      <c r="T19" s="70">
        <f t="shared" si="7"/>
        <v>866.10989777598661</v>
      </c>
      <c r="V19" s="42">
        <f t="shared" si="8"/>
        <v>1148.5233490164469</v>
      </c>
      <c r="W19" s="10">
        <f t="shared" si="9"/>
        <v>379.44</v>
      </c>
      <c r="X19" s="74">
        <f t="shared" si="10"/>
        <v>1527.963349016447</v>
      </c>
      <c r="Z19" s="42">
        <f t="shared" si="11"/>
        <v>1431.8257751071703</v>
      </c>
      <c r="AA19" s="10">
        <f t="shared" si="12"/>
        <v>473.04</v>
      </c>
      <c r="AB19" s="74">
        <f t="shared" si="14"/>
        <v>1904.8657751071703</v>
      </c>
    </row>
    <row r="20" spans="1:28" x14ac:dyDescent="0.25">
      <c r="A20">
        <v>2018</v>
      </c>
      <c r="B20" s="2">
        <v>3</v>
      </c>
      <c r="F20" s="3"/>
      <c r="G20" s="10">
        <f t="shared" si="1"/>
        <v>0</v>
      </c>
      <c r="H20" s="3">
        <v>150000</v>
      </c>
      <c r="I20" s="10"/>
      <c r="J20" s="9"/>
      <c r="K20" s="3">
        <f t="shared" si="2"/>
        <v>400002.40941176482</v>
      </c>
      <c r="M20" s="3">
        <f t="shared" si="3"/>
        <v>26868.240000000002</v>
      </c>
      <c r="N20" s="3">
        <f t="shared" si="4"/>
        <v>32109.411764705881</v>
      </c>
      <c r="O20" s="10">
        <f t="shared" si="15"/>
        <v>150000</v>
      </c>
      <c r="P20" s="10">
        <f t="shared" si="5"/>
        <v>208977.65176470589</v>
      </c>
      <c r="Q20" s="10"/>
      <c r="R20" s="10">
        <f t="shared" si="6"/>
        <v>650.82989777598664</v>
      </c>
      <c r="S20" s="10">
        <f t="shared" si="13"/>
        <v>215.28</v>
      </c>
      <c r="T20" s="70">
        <f t="shared" si="7"/>
        <v>866.10989777598661</v>
      </c>
      <c r="V20" s="42">
        <f t="shared" si="8"/>
        <v>1148.5233490164469</v>
      </c>
      <c r="W20" s="10">
        <f t="shared" si="9"/>
        <v>379.44</v>
      </c>
      <c r="X20" s="74">
        <f t="shared" si="10"/>
        <v>1527.963349016447</v>
      </c>
      <c r="Z20" s="42">
        <f t="shared" si="11"/>
        <v>1431.8257751071703</v>
      </c>
      <c r="AA20" s="10">
        <f t="shared" si="12"/>
        <v>473.04</v>
      </c>
      <c r="AB20" s="74">
        <f t="shared" si="14"/>
        <v>1904.8657751071703</v>
      </c>
    </row>
    <row r="21" spans="1:28" x14ac:dyDescent="0.25">
      <c r="A21">
        <v>2018</v>
      </c>
      <c r="B21" s="2">
        <v>4</v>
      </c>
      <c r="C21" s="2" t="s">
        <v>15</v>
      </c>
      <c r="D21" s="3">
        <v>90000</v>
      </c>
      <c r="E21" s="3">
        <v>307000</v>
      </c>
      <c r="F21" s="3">
        <v>25000</v>
      </c>
      <c r="G21" s="10">
        <f t="shared" si="1"/>
        <v>422000</v>
      </c>
      <c r="H21" s="3">
        <v>150000</v>
      </c>
      <c r="I21" s="10"/>
      <c r="J21" s="9"/>
      <c r="K21" s="3">
        <f t="shared" si="2"/>
        <v>186980.06117647071</v>
      </c>
      <c r="M21" s="3">
        <f t="shared" si="3"/>
        <v>26868.240000000002</v>
      </c>
      <c r="N21" s="3">
        <f t="shared" si="4"/>
        <v>32109.411764705881</v>
      </c>
      <c r="O21" s="10">
        <f t="shared" si="15"/>
        <v>150000</v>
      </c>
      <c r="P21" s="10">
        <f t="shared" si="5"/>
        <v>208977.65176470589</v>
      </c>
      <c r="Q21" s="10"/>
      <c r="R21" s="10">
        <f t="shared" si="6"/>
        <v>650.82989777598664</v>
      </c>
      <c r="S21" s="10">
        <f t="shared" si="13"/>
        <v>215.28</v>
      </c>
      <c r="T21" s="70">
        <f t="shared" si="7"/>
        <v>866.10989777598661</v>
      </c>
      <c r="V21" s="42">
        <f t="shared" si="8"/>
        <v>1148.5233490164469</v>
      </c>
      <c r="W21" s="10">
        <f t="shared" si="9"/>
        <v>379.44</v>
      </c>
      <c r="X21" s="74">
        <f t="shared" si="10"/>
        <v>1527.963349016447</v>
      </c>
      <c r="Z21" s="42">
        <f t="shared" si="11"/>
        <v>1431.8257751071703</v>
      </c>
      <c r="AA21" s="10">
        <f t="shared" si="12"/>
        <v>473.04</v>
      </c>
      <c r="AB21" s="74">
        <f t="shared" si="14"/>
        <v>1904.8657751071703</v>
      </c>
    </row>
    <row r="22" spans="1:28" x14ac:dyDescent="0.25">
      <c r="A22">
        <v>2019</v>
      </c>
      <c r="B22" s="2">
        <v>1</v>
      </c>
      <c r="F22" s="3"/>
      <c r="G22" s="10">
        <f t="shared" si="1"/>
        <v>0</v>
      </c>
      <c r="H22" s="3">
        <v>150000</v>
      </c>
      <c r="I22" s="10"/>
      <c r="J22" s="9"/>
      <c r="K22" s="3">
        <f t="shared" si="2"/>
        <v>395957.71294117661</v>
      </c>
      <c r="M22" s="3">
        <f t="shared" si="3"/>
        <v>26868.240000000002</v>
      </c>
      <c r="N22" s="3">
        <f t="shared" si="4"/>
        <v>32109.411764705881</v>
      </c>
      <c r="O22" s="10">
        <f t="shared" si="15"/>
        <v>150000</v>
      </c>
      <c r="P22" s="10">
        <f t="shared" si="5"/>
        <v>208977.65176470589</v>
      </c>
      <c r="Q22" s="10"/>
      <c r="R22" s="10">
        <f t="shared" si="6"/>
        <v>650.82989777598664</v>
      </c>
      <c r="S22" s="10">
        <f t="shared" si="13"/>
        <v>215.28</v>
      </c>
      <c r="T22" s="70">
        <f t="shared" si="7"/>
        <v>866.10989777598661</v>
      </c>
      <c r="V22" s="42">
        <f t="shared" si="8"/>
        <v>1148.5233490164469</v>
      </c>
      <c r="W22" s="10">
        <f t="shared" si="9"/>
        <v>379.44</v>
      </c>
      <c r="X22" s="74">
        <f t="shared" si="10"/>
        <v>1527.963349016447</v>
      </c>
      <c r="Z22" s="42">
        <f t="shared" si="11"/>
        <v>1431.8257751071703</v>
      </c>
      <c r="AA22" s="10">
        <f t="shared" si="12"/>
        <v>473.04</v>
      </c>
      <c r="AB22" s="74">
        <f t="shared" si="14"/>
        <v>1904.8657751071703</v>
      </c>
    </row>
    <row r="23" spans="1:28" x14ac:dyDescent="0.25">
      <c r="A23">
        <v>2019</v>
      </c>
      <c r="B23" s="2">
        <v>2</v>
      </c>
      <c r="C23" s="2" t="s">
        <v>13</v>
      </c>
      <c r="D23" s="3">
        <v>74000</v>
      </c>
      <c r="E23" s="3">
        <v>366000</v>
      </c>
      <c r="F23" s="3"/>
      <c r="G23" s="10">
        <f t="shared" si="1"/>
        <v>440000</v>
      </c>
      <c r="H23" s="3">
        <v>150000</v>
      </c>
      <c r="I23" s="10"/>
      <c r="J23" s="9"/>
      <c r="K23" s="3">
        <f t="shared" si="2"/>
        <v>164935.3647058825</v>
      </c>
      <c r="M23" s="3">
        <f t="shared" si="3"/>
        <v>26868.240000000002</v>
      </c>
      <c r="N23" s="3">
        <f t="shared" si="4"/>
        <v>32109.411764705881</v>
      </c>
      <c r="O23" s="10">
        <f t="shared" si="15"/>
        <v>150000</v>
      </c>
      <c r="P23" s="10">
        <f t="shared" si="5"/>
        <v>208977.65176470589</v>
      </c>
      <c r="Q23" s="10"/>
      <c r="R23" s="10">
        <f t="shared" si="6"/>
        <v>650.82989777598664</v>
      </c>
      <c r="S23" s="10">
        <f t="shared" si="13"/>
        <v>215.28</v>
      </c>
      <c r="T23" s="70">
        <f t="shared" si="7"/>
        <v>866.10989777598661</v>
      </c>
      <c r="V23" s="42">
        <f t="shared" si="8"/>
        <v>1148.5233490164469</v>
      </c>
      <c r="W23" s="10">
        <f t="shared" si="9"/>
        <v>379.44</v>
      </c>
      <c r="X23" s="74">
        <f t="shared" si="10"/>
        <v>1527.963349016447</v>
      </c>
      <c r="Z23" s="42">
        <f t="shared" si="11"/>
        <v>1431.8257751071703</v>
      </c>
      <c r="AA23" s="10">
        <f t="shared" si="12"/>
        <v>473.04</v>
      </c>
      <c r="AB23" s="74">
        <f t="shared" si="14"/>
        <v>1904.8657751071703</v>
      </c>
    </row>
    <row r="24" spans="1:28" x14ac:dyDescent="0.25">
      <c r="A24">
        <v>2019</v>
      </c>
      <c r="B24" s="2">
        <v>3</v>
      </c>
      <c r="F24" s="3"/>
      <c r="G24" s="10">
        <f t="shared" si="1"/>
        <v>0</v>
      </c>
      <c r="H24" s="3">
        <v>150000</v>
      </c>
      <c r="I24" s="10"/>
      <c r="J24" s="9"/>
      <c r="K24" s="3">
        <f t="shared" si="2"/>
        <v>373913.01647058839</v>
      </c>
      <c r="M24" s="3">
        <f t="shared" si="3"/>
        <v>26868.240000000002</v>
      </c>
      <c r="N24" s="3">
        <f t="shared" si="4"/>
        <v>32109.411764705881</v>
      </c>
      <c r="O24" s="10">
        <f t="shared" si="15"/>
        <v>150000</v>
      </c>
      <c r="P24" s="10">
        <f t="shared" si="5"/>
        <v>208977.65176470589</v>
      </c>
      <c r="Q24" s="10"/>
      <c r="R24" s="10">
        <f t="shared" si="6"/>
        <v>650.82989777598664</v>
      </c>
      <c r="S24" s="10">
        <f t="shared" si="13"/>
        <v>215.28</v>
      </c>
      <c r="T24" s="70">
        <f t="shared" si="7"/>
        <v>866.10989777598661</v>
      </c>
      <c r="V24" s="42">
        <f t="shared" si="8"/>
        <v>1148.5233490164469</v>
      </c>
      <c r="W24" s="10">
        <f t="shared" si="9"/>
        <v>379.44</v>
      </c>
      <c r="X24" s="74">
        <f t="shared" si="10"/>
        <v>1527.963349016447</v>
      </c>
      <c r="Z24" s="42">
        <f t="shared" si="11"/>
        <v>1431.8257751071703</v>
      </c>
      <c r="AA24" s="10">
        <f t="shared" si="12"/>
        <v>473.04</v>
      </c>
      <c r="AB24" s="74">
        <f t="shared" si="14"/>
        <v>1904.8657751071703</v>
      </c>
    </row>
    <row r="25" spans="1:28" x14ac:dyDescent="0.25">
      <c r="A25">
        <v>2019</v>
      </c>
      <c r="B25" s="2">
        <v>4</v>
      </c>
      <c r="C25" s="2" t="s">
        <v>11</v>
      </c>
      <c r="D25" s="3">
        <v>72000</v>
      </c>
      <c r="E25" s="3">
        <v>307000</v>
      </c>
      <c r="F25" s="3">
        <v>30000</v>
      </c>
      <c r="G25" s="10">
        <f t="shared" si="1"/>
        <v>409000</v>
      </c>
      <c r="H25" s="3">
        <v>150000</v>
      </c>
      <c r="I25" s="10"/>
      <c r="J25" s="9"/>
      <c r="K25" s="3">
        <f t="shared" si="2"/>
        <v>173890.66823529429</v>
      </c>
      <c r="M25" s="3">
        <f t="shared" si="3"/>
        <v>26868.240000000002</v>
      </c>
      <c r="N25" s="3">
        <f t="shared" si="4"/>
        <v>32109.411764705881</v>
      </c>
      <c r="O25" s="10">
        <f t="shared" si="15"/>
        <v>150000</v>
      </c>
      <c r="P25" s="10">
        <f t="shared" si="5"/>
        <v>208977.65176470589</v>
      </c>
      <c r="Q25" s="10"/>
      <c r="R25" s="10">
        <f t="shared" si="6"/>
        <v>650.82989777598664</v>
      </c>
      <c r="S25" s="10">
        <f t="shared" si="13"/>
        <v>215.28</v>
      </c>
      <c r="T25" s="70">
        <f t="shared" si="7"/>
        <v>866.10989777598661</v>
      </c>
      <c r="V25" s="42">
        <f t="shared" si="8"/>
        <v>1148.5233490164469</v>
      </c>
      <c r="W25" s="10">
        <f t="shared" si="9"/>
        <v>379.44</v>
      </c>
      <c r="X25" s="74">
        <f t="shared" si="10"/>
        <v>1527.963349016447</v>
      </c>
      <c r="Z25" s="42">
        <f t="shared" si="11"/>
        <v>1431.8257751071703</v>
      </c>
      <c r="AA25" s="10">
        <f t="shared" si="12"/>
        <v>473.04</v>
      </c>
      <c r="AB25" s="74">
        <f t="shared" si="14"/>
        <v>1904.8657751071703</v>
      </c>
    </row>
    <row r="26" spans="1:28" x14ac:dyDescent="0.25">
      <c r="A26">
        <v>2020</v>
      </c>
      <c r="B26" s="2">
        <v>1</v>
      </c>
      <c r="F26" s="3"/>
      <c r="G26" s="10">
        <f t="shared" si="1"/>
        <v>0</v>
      </c>
      <c r="H26" s="3">
        <v>150000</v>
      </c>
      <c r="I26" s="10"/>
      <c r="J26" s="9"/>
      <c r="K26" s="3">
        <f t="shared" si="2"/>
        <v>382868.32000000018</v>
      </c>
      <c r="M26" s="3">
        <f t="shared" si="3"/>
        <v>26868.240000000002</v>
      </c>
      <c r="N26" s="3">
        <f t="shared" si="4"/>
        <v>32109.411764705881</v>
      </c>
      <c r="O26" s="10">
        <f t="shared" si="15"/>
        <v>150000</v>
      </c>
      <c r="P26" s="10">
        <f t="shared" si="5"/>
        <v>208977.65176470589</v>
      </c>
      <c r="Q26" s="10"/>
      <c r="R26" s="10">
        <f t="shared" si="6"/>
        <v>650.82989777598664</v>
      </c>
      <c r="S26" s="10">
        <f t="shared" si="13"/>
        <v>215.28</v>
      </c>
      <c r="T26" s="70">
        <f t="shared" si="7"/>
        <v>866.10989777598661</v>
      </c>
      <c r="V26" s="42">
        <f t="shared" si="8"/>
        <v>1148.5233490164469</v>
      </c>
      <c r="W26" s="10">
        <f t="shared" si="9"/>
        <v>379.44</v>
      </c>
      <c r="X26" s="74">
        <f t="shared" si="10"/>
        <v>1527.963349016447</v>
      </c>
      <c r="Z26" s="42">
        <f t="shared" si="11"/>
        <v>1431.8257751071703</v>
      </c>
      <c r="AA26" s="10">
        <f t="shared" si="12"/>
        <v>473.04</v>
      </c>
      <c r="AB26" s="74">
        <f t="shared" si="14"/>
        <v>1904.8657751071703</v>
      </c>
    </row>
    <row r="27" spans="1:28" x14ac:dyDescent="0.25">
      <c r="A27">
        <v>2020</v>
      </c>
      <c r="B27" s="2">
        <v>2</v>
      </c>
      <c r="C27" s="2" t="s">
        <v>12</v>
      </c>
      <c r="D27" s="8"/>
      <c r="E27" s="8">
        <v>289000</v>
      </c>
      <c r="F27" s="8"/>
      <c r="G27" s="20">
        <f t="shared" si="1"/>
        <v>289000</v>
      </c>
      <c r="H27" s="8">
        <v>0</v>
      </c>
      <c r="I27" s="10"/>
      <c r="J27" s="9"/>
      <c r="K27" s="3">
        <f t="shared" si="2"/>
        <v>152845.97176470608</v>
      </c>
      <c r="M27" s="3">
        <f t="shared" si="3"/>
        <v>26868.240000000002</v>
      </c>
      <c r="N27" s="3">
        <f t="shared" si="4"/>
        <v>32109.411764705881</v>
      </c>
      <c r="O27" s="10">
        <f t="shared" si="15"/>
        <v>0</v>
      </c>
      <c r="P27" s="10">
        <f t="shared" si="5"/>
        <v>58977.651764705879</v>
      </c>
      <c r="Q27" s="10"/>
      <c r="R27" s="10">
        <f t="shared" si="6"/>
        <v>183.67714798666324</v>
      </c>
      <c r="S27" s="10">
        <f t="shared" si="13"/>
        <v>215.28</v>
      </c>
      <c r="T27" s="70">
        <f t="shared" si="7"/>
        <v>398.95714798666324</v>
      </c>
      <c r="V27" s="42">
        <f t="shared" si="8"/>
        <v>324.1361435058763</v>
      </c>
      <c r="W27" s="10">
        <f t="shared" si="9"/>
        <v>379.44</v>
      </c>
      <c r="X27" s="74">
        <f t="shared" si="10"/>
        <v>703.5761435058763</v>
      </c>
      <c r="Z27" s="42">
        <f t="shared" si="11"/>
        <v>404.08972557065908</v>
      </c>
      <c r="AA27" s="10">
        <f t="shared" si="12"/>
        <v>473.04</v>
      </c>
      <c r="AB27" s="74">
        <f t="shared" si="14"/>
        <v>877.12972557065905</v>
      </c>
    </row>
    <row r="28" spans="1:28" x14ac:dyDescent="0.25">
      <c r="A28">
        <v>2020</v>
      </c>
      <c r="B28" s="2">
        <v>3</v>
      </c>
      <c r="G28" s="20">
        <f t="shared" si="1"/>
        <v>0</v>
      </c>
      <c r="H28" s="3">
        <v>0</v>
      </c>
      <c r="K28" s="3">
        <f t="shared" si="2"/>
        <v>211823.62352941197</v>
      </c>
      <c r="M28" s="3">
        <f t="shared" si="3"/>
        <v>26868.240000000002</v>
      </c>
      <c r="N28" s="3">
        <f t="shared" si="4"/>
        <v>32109.411764705881</v>
      </c>
      <c r="O28" s="10">
        <f t="shared" si="15"/>
        <v>0</v>
      </c>
      <c r="P28" s="10">
        <f t="shared" si="5"/>
        <v>58977.651764705879</v>
      </c>
      <c r="Q28" s="10"/>
      <c r="R28" s="10">
        <f t="shared" si="6"/>
        <v>183.67714798666324</v>
      </c>
      <c r="S28" s="10">
        <f t="shared" si="13"/>
        <v>215.28</v>
      </c>
      <c r="T28" s="70">
        <f t="shared" si="7"/>
        <v>398.95714798666324</v>
      </c>
      <c r="V28" s="42">
        <f t="shared" si="8"/>
        <v>324.1361435058763</v>
      </c>
      <c r="W28" s="10">
        <f t="shared" si="9"/>
        <v>379.44</v>
      </c>
      <c r="X28" s="74">
        <f t="shared" si="10"/>
        <v>703.5761435058763</v>
      </c>
      <c r="Z28" s="42">
        <f t="shared" si="11"/>
        <v>404.08972557065908</v>
      </c>
      <c r="AA28" s="10">
        <f t="shared" si="12"/>
        <v>473.04</v>
      </c>
      <c r="AB28" s="74">
        <f t="shared" si="14"/>
        <v>877.12972557065905</v>
      </c>
    </row>
    <row r="29" spans="1:28" x14ac:dyDescent="0.25">
      <c r="A29">
        <v>2020</v>
      </c>
      <c r="B29" s="2">
        <v>4</v>
      </c>
      <c r="F29" s="3">
        <v>30000</v>
      </c>
      <c r="G29" s="20">
        <f t="shared" si="1"/>
        <v>30000</v>
      </c>
      <c r="H29" s="3">
        <v>0</v>
      </c>
      <c r="K29" s="3">
        <f t="shared" si="2"/>
        <v>240801.27529411786</v>
      </c>
      <c r="M29" s="3">
        <f t="shared" si="3"/>
        <v>26868.240000000002</v>
      </c>
      <c r="N29" s="3">
        <f t="shared" si="4"/>
        <v>32109.411764705881</v>
      </c>
      <c r="O29" s="10">
        <f t="shared" si="15"/>
        <v>0</v>
      </c>
      <c r="P29" s="10">
        <f t="shared" si="5"/>
        <v>58977.651764705879</v>
      </c>
      <c r="Q29" s="10"/>
      <c r="R29" s="10">
        <f t="shared" si="6"/>
        <v>183.67714798666324</v>
      </c>
      <c r="S29" s="10">
        <f t="shared" si="13"/>
        <v>215.28</v>
      </c>
      <c r="T29" s="70">
        <f t="shared" si="7"/>
        <v>398.95714798666324</v>
      </c>
      <c r="V29" s="42">
        <f t="shared" si="8"/>
        <v>324.1361435058763</v>
      </c>
      <c r="W29" s="10">
        <f t="shared" si="9"/>
        <v>379.44</v>
      </c>
      <c r="X29" s="74">
        <f t="shared" si="10"/>
        <v>703.5761435058763</v>
      </c>
      <c r="Z29" s="42">
        <f t="shared" si="11"/>
        <v>404.08972557065908</v>
      </c>
      <c r="AA29" s="10">
        <f t="shared" si="12"/>
        <v>473.04</v>
      </c>
      <c r="AB29" s="74">
        <f t="shared" si="14"/>
        <v>877.12972557065905</v>
      </c>
    </row>
    <row r="30" spans="1:28" x14ac:dyDescent="0.25">
      <c r="A30">
        <v>2021</v>
      </c>
      <c r="B30" s="2">
        <v>1</v>
      </c>
      <c r="F30" s="3"/>
      <c r="G30" s="20">
        <f t="shared" si="1"/>
        <v>0</v>
      </c>
      <c r="K30" s="3">
        <f t="shared" si="2"/>
        <v>299778.92705882376</v>
      </c>
      <c r="M30" s="3">
        <f t="shared" si="3"/>
        <v>26868.240000000002</v>
      </c>
      <c r="N30" s="3">
        <f t="shared" si="4"/>
        <v>32109.411764705881</v>
      </c>
      <c r="O30" s="10">
        <f t="shared" si="15"/>
        <v>0</v>
      </c>
      <c r="P30" s="10">
        <f t="shared" si="5"/>
        <v>58977.651764705879</v>
      </c>
      <c r="Q30" s="10"/>
      <c r="R30" s="10">
        <f t="shared" si="6"/>
        <v>183.67714798666324</v>
      </c>
      <c r="S30" s="10">
        <f t="shared" si="13"/>
        <v>215.28</v>
      </c>
      <c r="T30" s="70">
        <f t="shared" si="7"/>
        <v>398.95714798666324</v>
      </c>
      <c r="V30" s="42">
        <f t="shared" si="8"/>
        <v>324.1361435058763</v>
      </c>
      <c r="W30" s="10">
        <f t="shared" si="9"/>
        <v>379.44</v>
      </c>
      <c r="X30" s="74">
        <f t="shared" si="10"/>
        <v>703.5761435058763</v>
      </c>
      <c r="Z30" s="42">
        <f t="shared" si="11"/>
        <v>404.08972557065908</v>
      </c>
      <c r="AA30" s="10">
        <f t="shared" si="12"/>
        <v>473.04</v>
      </c>
      <c r="AB30" s="74">
        <f t="shared" si="14"/>
        <v>877.12972557065905</v>
      </c>
    </row>
    <row r="31" spans="1:28" x14ac:dyDescent="0.25">
      <c r="A31">
        <v>2021</v>
      </c>
      <c r="B31" s="2">
        <v>2</v>
      </c>
      <c r="F31" s="3"/>
      <c r="G31" s="20">
        <f t="shared" si="1"/>
        <v>0</v>
      </c>
      <c r="K31" s="3">
        <f t="shared" si="2"/>
        <v>358756.57882352965</v>
      </c>
      <c r="M31" s="3">
        <f t="shared" si="3"/>
        <v>26868.240000000002</v>
      </c>
      <c r="N31" s="3">
        <f t="shared" si="4"/>
        <v>32109.411764705881</v>
      </c>
      <c r="O31" s="10">
        <f t="shared" si="15"/>
        <v>0</v>
      </c>
      <c r="P31" s="10">
        <f t="shared" si="5"/>
        <v>58977.651764705879</v>
      </c>
      <c r="Q31" s="10"/>
      <c r="R31" s="10">
        <f t="shared" si="6"/>
        <v>183.67714798666324</v>
      </c>
      <c r="S31" s="10">
        <f t="shared" si="13"/>
        <v>215.28</v>
      </c>
      <c r="T31" s="70">
        <f t="shared" si="7"/>
        <v>398.95714798666324</v>
      </c>
      <c r="V31" s="42">
        <f t="shared" si="8"/>
        <v>324.1361435058763</v>
      </c>
      <c r="W31" s="10">
        <f t="shared" si="9"/>
        <v>379.44</v>
      </c>
      <c r="X31" s="74">
        <f t="shared" si="10"/>
        <v>703.5761435058763</v>
      </c>
      <c r="Z31" s="42">
        <f t="shared" si="11"/>
        <v>404.08972557065908</v>
      </c>
      <c r="AA31" s="10">
        <f t="shared" si="12"/>
        <v>473.04</v>
      </c>
      <c r="AB31" s="74">
        <f t="shared" si="14"/>
        <v>877.12972557065905</v>
      </c>
    </row>
    <row r="32" spans="1:28" x14ac:dyDescent="0.25">
      <c r="A32">
        <v>2021</v>
      </c>
      <c r="B32" s="2">
        <v>3</v>
      </c>
      <c r="F32" s="3"/>
      <c r="G32" s="20">
        <f t="shared" si="1"/>
        <v>0</v>
      </c>
      <c r="K32" s="3">
        <f t="shared" si="2"/>
        <v>417734.23058823554</v>
      </c>
      <c r="M32" s="3">
        <f t="shared" si="3"/>
        <v>26868.240000000002</v>
      </c>
      <c r="N32" s="3">
        <f t="shared" si="4"/>
        <v>32109.411764705881</v>
      </c>
      <c r="O32" s="10">
        <f t="shared" si="15"/>
        <v>0</v>
      </c>
      <c r="P32" s="10">
        <f t="shared" si="5"/>
        <v>58977.651764705879</v>
      </c>
      <c r="Q32" s="10"/>
      <c r="R32" s="10">
        <f t="shared" si="6"/>
        <v>183.67714798666324</v>
      </c>
      <c r="S32" s="10">
        <f t="shared" si="13"/>
        <v>215.28</v>
      </c>
      <c r="T32" s="70">
        <f t="shared" si="7"/>
        <v>398.95714798666324</v>
      </c>
      <c r="V32" s="42">
        <f t="shared" si="8"/>
        <v>324.1361435058763</v>
      </c>
      <c r="W32" s="10">
        <f t="shared" si="9"/>
        <v>379.44</v>
      </c>
      <c r="X32" s="74">
        <f t="shared" si="10"/>
        <v>703.5761435058763</v>
      </c>
      <c r="Z32" s="42">
        <f t="shared" si="11"/>
        <v>404.08972557065908</v>
      </c>
      <c r="AA32" s="10">
        <f t="shared" si="12"/>
        <v>473.04</v>
      </c>
      <c r="AB32" s="74">
        <f t="shared" si="14"/>
        <v>877.12972557065905</v>
      </c>
    </row>
    <row r="33" spans="1:28" x14ac:dyDescent="0.25">
      <c r="A33">
        <v>2021</v>
      </c>
      <c r="B33" s="2">
        <v>4</v>
      </c>
      <c r="F33" s="3">
        <v>30000</v>
      </c>
      <c r="G33" s="20">
        <f t="shared" si="1"/>
        <v>30000</v>
      </c>
      <c r="K33" s="3">
        <f t="shared" si="2"/>
        <v>446711.88235294144</v>
      </c>
      <c r="M33" s="3">
        <f t="shared" si="3"/>
        <v>26868.240000000002</v>
      </c>
      <c r="N33" s="3">
        <f t="shared" si="4"/>
        <v>32109.411764705881</v>
      </c>
      <c r="O33" s="10">
        <f t="shared" si="15"/>
        <v>0</v>
      </c>
      <c r="P33" s="10">
        <f t="shared" si="5"/>
        <v>58977.651764705879</v>
      </c>
      <c r="Q33" s="10"/>
      <c r="R33" s="10">
        <f t="shared" si="6"/>
        <v>183.67714798666324</v>
      </c>
      <c r="S33" s="10">
        <f t="shared" si="13"/>
        <v>215.28</v>
      </c>
      <c r="T33" s="70">
        <f t="shared" si="7"/>
        <v>398.95714798666324</v>
      </c>
      <c r="V33" s="42">
        <f t="shared" si="8"/>
        <v>324.1361435058763</v>
      </c>
      <c r="W33" s="10">
        <f t="shared" si="9"/>
        <v>379.44</v>
      </c>
      <c r="X33" s="74">
        <f t="shared" si="10"/>
        <v>703.5761435058763</v>
      </c>
      <c r="Z33" s="42">
        <f t="shared" si="11"/>
        <v>404.08972557065908</v>
      </c>
      <c r="AA33" s="10">
        <f t="shared" si="12"/>
        <v>473.04</v>
      </c>
      <c r="AB33" s="74">
        <f t="shared" si="14"/>
        <v>877.12972557065905</v>
      </c>
    </row>
    <row r="34" spans="1:28" x14ac:dyDescent="0.25">
      <c r="A34">
        <v>2022</v>
      </c>
      <c r="B34" s="2">
        <v>1</v>
      </c>
      <c r="F34" s="3"/>
      <c r="G34" s="20">
        <f t="shared" si="1"/>
        <v>0</v>
      </c>
      <c r="K34" s="3">
        <f t="shared" si="2"/>
        <v>505689.53411764733</v>
      </c>
      <c r="M34" s="3">
        <f t="shared" si="3"/>
        <v>26868.240000000002</v>
      </c>
      <c r="N34" s="3">
        <f t="shared" si="4"/>
        <v>32109.411764705881</v>
      </c>
      <c r="O34" s="10">
        <f t="shared" si="15"/>
        <v>0</v>
      </c>
      <c r="P34" s="10">
        <f t="shared" si="5"/>
        <v>58977.651764705879</v>
      </c>
      <c r="Q34" s="10"/>
      <c r="R34" s="10">
        <f t="shared" si="6"/>
        <v>183.67714798666324</v>
      </c>
      <c r="S34" s="10">
        <f t="shared" si="13"/>
        <v>215.28</v>
      </c>
      <c r="T34" s="70">
        <f t="shared" si="7"/>
        <v>398.95714798666324</v>
      </c>
      <c r="V34" s="42">
        <f t="shared" si="8"/>
        <v>324.1361435058763</v>
      </c>
      <c r="W34" s="10">
        <f t="shared" si="9"/>
        <v>379.44</v>
      </c>
      <c r="X34" s="74">
        <f t="shared" si="10"/>
        <v>703.5761435058763</v>
      </c>
      <c r="Z34" s="42">
        <f t="shared" si="11"/>
        <v>404.08972557065908</v>
      </c>
      <c r="AA34" s="10">
        <f t="shared" si="12"/>
        <v>473.04</v>
      </c>
      <c r="AB34" s="74">
        <f t="shared" si="14"/>
        <v>877.12972557065905</v>
      </c>
    </row>
    <row r="35" spans="1:28" x14ac:dyDescent="0.25">
      <c r="A35">
        <v>2022</v>
      </c>
      <c r="B35" s="2">
        <v>2</v>
      </c>
      <c r="F35" s="3"/>
      <c r="G35" s="20">
        <f t="shared" si="1"/>
        <v>0</v>
      </c>
      <c r="K35" s="3">
        <f t="shared" si="2"/>
        <v>564667.18588235322</v>
      </c>
      <c r="M35" s="3">
        <f t="shared" si="3"/>
        <v>26868.240000000002</v>
      </c>
      <c r="N35" s="3">
        <f t="shared" si="4"/>
        <v>32109.411764705881</v>
      </c>
      <c r="O35" s="10">
        <f t="shared" si="15"/>
        <v>0</v>
      </c>
      <c r="P35" s="10">
        <f t="shared" si="5"/>
        <v>58977.651764705879</v>
      </c>
      <c r="Q35" s="10"/>
      <c r="R35" s="10">
        <f t="shared" si="6"/>
        <v>183.67714798666324</v>
      </c>
      <c r="S35" s="10">
        <f t="shared" si="13"/>
        <v>215.28</v>
      </c>
      <c r="T35" s="70">
        <f t="shared" si="7"/>
        <v>398.95714798666324</v>
      </c>
      <c r="V35" s="42">
        <f t="shared" si="8"/>
        <v>324.1361435058763</v>
      </c>
      <c r="W35" s="10">
        <f t="shared" si="9"/>
        <v>379.44</v>
      </c>
      <c r="X35" s="74">
        <f t="shared" si="10"/>
        <v>703.5761435058763</v>
      </c>
      <c r="Z35" s="42">
        <f t="shared" si="11"/>
        <v>404.08972557065908</v>
      </c>
      <c r="AA35" s="10">
        <f t="shared" si="12"/>
        <v>473.04</v>
      </c>
      <c r="AB35" s="74">
        <f t="shared" si="14"/>
        <v>877.12972557065905</v>
      </c>
    </row>
    <row r="36" spans="1:28" x14ac:dyDescent="0.25">
      <c r="A36">
        <v>2022</v>
      </c>
      <c r="B36" s="2">
        <v>3</v>
      </c>
      <c r="F36" s="3"/>
      <c r="G36" s="20">
        <f t="shared" si="1"/>
        <v>0</v>
      </c>
      <c r="K36" s="3">
        <f t="shared" si="2"/>
        <v>623644.83764705912</v>
      </c>
      <c r="M36" s="3">
        <f t="shared" si="3"/>
        <v>26868.240000000002</v>
      </c>
      <c r="N36" s="3">
        <f t="shared" si="4"/>
        <v>32109.411764705881</v>
      </c>
      <c r="O36" s="10">
        <f t="shared" si="15"/>
        <v>0</v>
      </c>
      <c r="P36" s="10">
        <f t="shared" si="5"/>
        <v>58977.651764705879</v>
      </c>
      <c r="Q36" s="10"/>
      <c r="R36" s="10">
        <f t="shared" si="6"/>
        <v>183.67714798666324</v>
      </c>
      <c r="S36" s="10">
        <f t="shared" si="13"/>
        <v>215.28</v>
      </c>
      <c r="T36" s="70">
        <f t="shared" si="7"/>
        <v>398.95714798666324</v>
      </c>
      <c r="V36" s="42">
        <f t="shared" si="8"/>
        <v>324.1361435058763</v>
      </c>
      <c r="W36" s="10">
        <f t="shared" si="9"/>
        <v>379.44</v>
      </c>
      <c r="X36" s="74">
        <f t="shared" si="10"/>
        <v>703.5761435058763</v>
      </c>
      <c r="Z36" s="42">
        <f t="shared" si="11"/>
        <v>404.08972557065908</v>
      </c>
      <c r="AA36" s="10">
        <f t="shared" si="12"/>
        <v>473.04</v>
      </c>
      <c r="AB36" s="74">
        <f t="shared" si="14"/>
        <v>877.12972557065905</v>
      </c>
    </row>
    <row r="37" spans="1:28" x14ac:dyDescent="0.25">
      <c r="A37">
        <v>2022</v>
      </c>
      <c r="B37" s="2">
        <v>4</v>
      </c>
      <c r="F37" s="3"/>
      <c r="G37" s="20">
        <f t="shared" si="1"/>
        <v>0</v>
      </c>
      <c r="K37" s="3">
        <f t="shared" si="2"/>
        <v>682622.48941176501</v>
      </c>
      <c r="M37" s="3">
        <f t="shared" si="3"/>
        <v>26868.240000000002</v>
      </c>
      <c r="N37" s="3">
        <f t="shared" si="4"/>
        <v>32109.411764705881</v>
      </c>
      <c r="O37" s="10">
        <f t="shared" si="15"/>
        <v>0</v>
      </c>
      <c r="P37" s="10">
        <f t="shared" si="5"/>
        <v>58977.651764705879</v>
      </c>
      <c r="Q37" s="10"/>
      <c r="R37" s="10">
        <f t="shared" si="6"/>
        <v>183.67714798666324</v>
      </c>
      <c r="S37" s="10">
        <f t="shared" si="13"/>
        <v>215.28</v>
      </c>
      <c r="T37" s="70">
        <f t="shared" si="7"/>
        <v>398.95714798666324</v>
      </c>
      <c r="V37" s="42">
        <f t="shared" si="8"/>
        <v>324.1361435058763</v>
      </c>
      <c r="W37" s="10">
        <f t="shared" si="9"/>
        <v>379.44</v>
      </c>
      <c r="X37" s="74">
        <f t="shared" si="10"/>
        <v>703.5761435058763</v>
      </c>
      <c r="Z37" s="42">
        <f t="shared" si="11"/>
        <v>404.08972557065908</v>
      </c>
      <c r="AA37" s="10">
        <f t="shared" si="12"/>
        <v>473.04</v>
      </c>
      <c r="AB37" s="74">
        <f t="shared" si="14"/>
        <v>877.12972557065905</v>
      </c>
    </row>
    <row r="38" spans="1:28" x14ac:dyDescent="0.25">
      <c r="A38">
        <v>2023</v>
      </c>
      <c r="B38" s="2">
        <v>1</v>
      </c>
      <c r="G38" s="20">
        <f t="shared" si="1"/>
        <v>0</v>
      </c>
      <c r="K38" s="3">
        <f t="shared" si="2"/>
        <v>741600.1411764709</v>
      </c>
      <c r="M38" s="3">
        <f t="shared" si="3"/>
        <v>26868.240000000002</v>
      </c>
      <c r="N38" s="3">
        <f t="shared" si="4"/>
        <v>32109.411764705881</v>
      </c>
      <c r="O38" s="10">
        <f t="shared" si="15"/>
        <v>0</v>
      </c>
      <c r="P38" s="10">
        <f t="shared" si="5"/>
        <v>58977.651764705879</v>
      </c>
      <c r="Q38" s="10"/>
      <c r="R38" s="10">
        <f t="shared" si="6"/>
        <v>183.67714798666324</v>
      </c>
      <c r="S38" s="10">
        <f t="shared" si="13"/>
        <v>215.28</v>
      </c>
      <c r="T38" s="70">
        <f t="shared" si="7"/>
        <v>398.95714798666324</v>
      </c>
      <c r="V38" s="42">
        <f t="shared" si="8"/>
        <v>324.1361435058763</v>
      </c>
      <c r="W38" s="10">
        <f t="shared" si="9"/>
        <v>379.44</v>
      </c>
      <c r="X38" s="74">
        <f t="shared" si="10"/>
        <v>703.5761435058763</v>
      </c>
      <c r="Z38" s="42">
        <f t="shared" si="11"/>
        <v>404.08972557065908</v>
      </c>
      <c r="AA38" s="10">
        <f t="shared" si="12"/>
        <v>473.04</v>
      </c>
      <c r="AB38" s="74">
        <f t="shared" si="14"/>
        <v>877.12972557065905</v>
      </c>
    </row>
    <row r="39" spans="1:28" x14ac:dyDescent="0.25">
      <c r="A39">
        <v>2023</v>
      </c>
      <c r="B39" s="2">
        <v>2</v>
      </c>
      <c r="G39" s="20">
        <f t="shared" si="1"/>
        <v>0</v>
      </c>
      <c r="K39" s="3">
        <f t="shared" si="2"/>
        <v>800577.7929411768</v>
      </c>
      <c r="M39" s="3">
        <f t="shared" si="3"/>
        <v>26868.240000000002</v>
      </c>
      <c r="N39" s="3">
        <f t="shared" si="4"/>
        <v>32109.411764705881</v>
      </c>
      <c r="O39" s="10">
        <f t="shared" si="15"/>
        <v>0</v>
      </c>
      <c r="P39" s="10">
        <f t="shared" si="5"/>
        <v>58977.651764705879</v>
      </c>
      <c r="Q39" s="10"/>
      <c r="R39" s="10">
        <f t="shared" si="6"/>
        <v>183.67714798666324</v>
      </c>
      <c r="S39" s="10">
        <f t="shared" si="13"/>
        <v>215.28</v>
      </c>
      <c r="T39" s="70">
        <f t="shared" si="7"/>
        <v>398.95714798666324</v>
      </c>
      <c r="V39" s="42">
        <f t="shared" si="8"/>
        <v>324.1361435058763</v>
      </c>
      <c r="W39" s="10">
        <f t="shared" si="9"/>
        <v>379.44</v>
      </c>
      <c r="X39" s="74">
        <f t="shared" si="10"/>
        <v>703.5761435058763</v>
      </c>
      <c r="Z39" s="42">
        <f t="shared" si="11"/>
        <v>404.08972557065908</v>
      </c>
      <c r="AA39" s="10">
        <f t="shared" si="12"/>
        <v>473.04</v>
      </c>
      <c r="AB39" s="74">
        <f t="shared" si="14"/>
        <v>877.12972557065905</v>
      </c>
    </row>
    <row r="40" spans="1:28" x14ac:dyDescent="0.25">
      <c r="A40">
        <v>2023</v>
      </c>
      <c r="B40" s="2">
        <v>3</v>
      </c>
      <c r="G40" s="20">
        <f t="shared" si="1"/>
        <v>0</v>
      </c>
      <c r="K40" s="3">
        <f t="shared" si="2"/>
        <v>859555.44470588269</v>
      </c>
      <c r="M40" s="3">
        <f t="shared" si="3"/>
        <v>26868.240000000002</v>
      </c>
      <c r="N40" s="3">
        <f t="shared" si="4"/>
        <v>32109.411764705881</v>
      </c>
      <c r="O40" s="10">
        <f t="shared" si="15"/>
        <v>0</v>
      </c>
      <c r="P40" s="10">
        <f t="shared" si="5"/>
        <v>58977.651764705879</v>
      </c>
      <c r="Q40" s="10"/>
      <c r="R40" s="10">
        <f t="shared" si="6"/>
        <v>183.67714798666324</v>
      </c>
      <c r="S40" s="10">
        <f t="shared" si="13"/>
        <v>215.28</v>
      </c>
      <c r="T40" s="70">
        <f t="shared" si="7"/>
        <v>398.95714798666324</v>
      </c>
      <c r="V40" s="42">
        <f t="shared" si="8"/>
        <v>324.1361435058763</v>
      </c>
      <c r="W40" s="10">
        <f t="shared" si="9"/>
        <v>379.44</v>
      </c>
      <c r="X40" s="74">
        <f t="shared" si="10"/>
        <v>703.5761435058763</v>
      </c>
      <c r="Z40" s="42">
        <f t="shared" si="11"/>
        <v>404.08972557065908</v>
      </c>
      <c r="AA40" s="10">
        <f t="shared" si="12"/>
        <v>473.04</v>
      </c>
      <c r="AB40" s="74">
        <f t="shared" si="14"/>
        <v>877.12972557065905</v>
      </c>
    </row>
    <row r="41" spans="1:28" x14ac:dyDescent="0.25">
      <c r="A41">
        <v>2023</v>
      </c>
      <c r="B41" s="2">
        <v>4</v>
      </c>
      <c r="F41" s="3"/>
      <c r="G41" s="20">
        <f t="shared" si="1"/>
        <v>0</v>
      </c>
      <c r="K41" s="3">
        <f t="shared" si="2"/>
        <v>918533.09647058859</v>
      </c>
      <c r="M41" s="3">
        <f t="shared" si="3"/>
        <v>26868.240000000002</v>
      </c>
      <c r="N41" s="3">
        <f t="shared" si="4"/>
        <v>32109.411764705881</v>
      </c>
      <c r="O41" s="10">
        <f t="shared" si="15"/>
        <v>0</v>
      </c>
      <c r="P41" s="10">
        <f t="shared" si="5"/>
        <v>58977.651764705879</v>
      </c>
      <c r="Q41" s="10"/>
      <c r="R41" s="10">
        <f t="shared" si="6"/>
        <v>183.67714798666324</v>
      </c>
      <c r="S41" s="10">
        <f t="shared" si="13"/>
        <v>215.28</v>
      </c>
      <c r="T41" s="70">
        <f t="shared" si="7"/>
        <v>398.95714798666324</v>
      </c>
      <c r="V41" s="42">
        <f t="shared" si="8"/>
        <v>324.1361435058763</v>
      </c>
      <c r="W41" s="10">
        <f t="shared" si="9"/>
        <v>379.44</v>
      </c>
      <c r="X41" s="74">
        <f t="shared" si="10"/>
        <v>703.5761435058763</v>
      </c>
      <c r="Z41" s="42">
        <f t="shared" si="11"/>
        <v>404.08972557065908</v>
      </c>
      <c r="AA41" s="10">
        <f t="shared" si="12"/>
        <v>473.04</v>
      </c>
      <c r="AB41" s="74">
        <f t="shared" si="14"/>
        <v>877.12972557065905</v>
      </c>
    </row>
    <row r="42" spans="1:28" x14ac:dyDescent="0.25">
      <c r="A42">
        <v>2024</v>
      </c>
      <c r="B42" s="2">
        <v>1</v>
      </c>
      <c r="C42" s="2" t="s">
        <v>21</v>
      </c>
      <c r="D42" s="3">
        <v>80000</v>
      </c>
      <c r="G42" s="20">
        <f>SUM(D42:F42)</f>
        <v>80000</v>
      </c>
      <c r="K42" s="3">
        <f t="shared" si="2"/>
        <v>897510.74823529448</v>
      </c>
      <c r="M42" s="3">
        <f t="shared" si="3"/>
        <v>26868.240000000002</v>
      </c>
      <c r="N42" s="3">
        <f t="shared" si="4"/>
        <v>32109.411764705881</v>
      </c>
      <c r="O42" s="10">
        <f t="shared" si="15"/>
        <v>0</v>
      </c>
      <c r="P42" s="10">
        <f t="shared" si="5"/>
        <v>58977.651764705879</v>
      </c>
      <c r="Q42" s="10"/>
      <c r="R42" s="10">
        <f t="shared" si="6"/>
        <v>183.67714798666324</v>
      </c>
      <c r="S42" s="10">
        <f t="shared" si="13"/>
        <v>215.28</v>
      </c>
      <c r="T42" s="70">
        <f t="shared" si="7"/>
        <v>398.95714798666324</v>
      </c>
      <c r="V42" s="42">
        <f t="shared" si="8"/>
        <v>324.1361435058763</v>
      </c>
      <c r="W42" s="10">
        <f t="shared" si="9"/>
        <v>379.44</v>
      </c>
      <c r="X42" s="74">
        <f t="shared" si="10"/>
        <v>703.5761435058763</v>
      </c>
      <c r="Z42" s="42">
        <f t="shared" si="11"/>
        <v>404.08972557065908</v>
      </c>
      <c r="AA42" s="10">
        <f t="shared" si="12"/>
        <v>473.04</v>
      </c>
      <c r="AB42" s="74">
        <f t="shared" si="14"/>
        <v>877.12972557065905</v>
      </c>
    </row>
    <row r="43" spans="1:28" x14ac:dyDescent="0.25">
      <c r="A43">
        <v>2024</v>
      </c>
      <c r="B43" s="2">
        <v>2</v>
      </c>
      <c r="E43" s="3">
        <v>400000</v>
      </c>
      <c r="G43" s="20">
        <f>SUM(D43:F43)</f>
        <v>400000</v>
      </c>
      <c r="K43" s="3">
        <f t="shared" si="2"/>
        <v>556488.40000000037</v>
      </c>
      <c r="M43" s="3">
        <f t="shared" si="3"/>
        <v>26868.240000000002</v>
      </c>
      <c r="N43" s="3">
        <f t="shared" si="4"/>
        <v>32109.411764705881</v>
      </c>
      <c r="O43" s="10">
        <f t="shared" si="15"/>
        <v>0</v>
      </c>
      <c r="P43" s="10">
        <f t="shared" si="5"/>
        <v>58977.651764705879</v>
      </c>
      <c r="Q43" s="10"/>
      <c r="R43" s="10">
        <f t="shared" si="6"/>
        <v>183.67714798666324</v>
      </c>
      <c r="S43" s="10">
        <f t="shared" si="13"/>
        <v>215.28</v>
      </c>
      <c r="T43" s="70">
        <f t="shared" si="7"/>
        <v>398.95714798666324</v>
      </c>
      <c r="V43" s="42">
        <f t="shared" si="8"/>
        <v>324.1361435058763</v>
      </c>
      <c r="W43" s="10">
        <f t="shared" si="9"/>
        <v>379.44</v>
      </c>
      <c r="X43" s="74">
        <f t="shared" si="10"/>
        <v>703.5761435058763</v>
      </c>
      <c r="Z43" s="42">
        <f t="shared" si="11"/>
        <v>404.08972557065908</v>
      </c>
      <c r="AA43" s="10">
        <f t="shared" si="12"/>
        <v>473.04</v>
      </c>
      <c r="AB43" s="74">
        <f t="shared" si="14"/>
        <v>877.12972557065905</v>
      </c>
    </row>
    <row r="44" spans="1:28" x14ac:dyDescent="0.25">
      <c r="A44">
        <v>2024</v>
      </c>
      <c r="B44" s="2">
        <v>3</v>
      </c>
      <c r="C44" s="2" t="s">
        <v>21</v>
      </c>
      <c r="D44" s="3">
        <v>80000</v>
      </c>
      <c r="G44" s="20">
        <f>SUM(D44:F44)</f>
        <v>80000</v>
      </c>
      <c r="K44" s="3">
        <f t="shared" si="2"/>
        <v>535466.05176470627</v>
      </c>
      <c r="M44" s="3">
        <f t="shared" si="3"/>
        <v>26868.240000000002</v>
      </c>
      <c r="N44" s="3">
        <f t="shared" si="4"/>
        <v>32109.411764705881</v>
      </c>
      <c r="O44" s="10">
        <f t="shared" si="15"/>
        <v>0</v>
      </c>
      <c r="P44" s="10">
        <f t="shared" si="5"/>
        <v>58977.651764705879</v>
      </c>
      <c r="Q44" s="10"/>
      <c r="R44" s="10">
        <f t="shared" si="6"/>
        <v>183.67714798666324</v>
      </c>
      <c r="S44" s="10">
        <f t="shared" si="13"/>
        <v>215.28</v>
      </c>
      <c r="T44" s="70">
        <f t="shared" si="7"/>
        <v>398.95714798666324</v>
      </c>
      <c r="V44" s="42">
        <f t="shared" si="8"/>
        <v>324.1361435058763</v>
      </c>
      <c r="W44" s="10">
        <f t="shared" si="9"/>
        <v>379.44</v>
      </c>
      <c r="X44" s="74">
        <f t="shared" si="10"/>
        <v>703.5761435058763</v>
      </c>
      <c r="Z44" s="42">
        <f t="shared" si="11"/>
        <v>404.08972557065908</v>
      </c>
      <c r="AA44" s="10">
        <f t="shared" si="12"/>
        <v>473.04</v>
      </c>
      <c r="AB44" s="74">
        <f t="shared" si="14"/>
        <v>877.12972557065905</v>
      </c>
    </row>
    <row r="45" spans="1:28" x14ac:dyDescent="0.25">
      <c r="A45">
        <v>2024</v>
      </c>
      <c r="B45" s="2">
        <v>4</v>
      </c>
      <c r="D45" s="6"/>
      <c r="E45" s="6">
        <v>400000</v>
      </c>
      <c r="F45" s="21"/>
      <c r="G45" s="11">
        <f>SUM(D45:F45)</f>
        <v>400000</v>
      </c>
      <c r="H45" s="6"/>
      <c r="I45" s="21"/>
      <c r="K45" s="3">
        <f t="shared" si="2"/>
        <v>194443.70352941216</v>
      </c>
      <c r="M45" s="6">
        <f t="shared" si="3"/>
        <v>26868.240000000002</v>
      </c>
      <c r="N45" s="6">
        <f t="shared" si="4"/>
        <v>32109.411764705881</v>
      </c>
      <c r="O45" s="11">
        <f>H45</f>
        <v>0</v>
      </c>
      <c r="P45" s="11">
        <f t="shared" si="5"/>
        <v>58977.651764705879</v>
      </c>
      <c r="Q45" s="11"/>
      <c r="R45" s="11">
        <f t="shared" si="6"/>
        <v>183.67714798666324</v>
      </c>
      <c r="S45" s="11">
        <f t="shared" si="13"/>
        <v>215.28</v>
      </c>
      <c r="T45" s="71">
        <f t="shared" si="7"/>
        <v>398.95714798666324</v>
      </c>
      <c r="V45" s="43">
        <f t="shared" si="8"/>
        <v>324.1361435058763</v>
      </c>
      <c r="W45" s="11">
        <f t="shared" si="9"/>
        <v>379.44</v>
      </c>
      <c r="X45" s="75">
        <f t="shared" si="10"/>
        <v>703.5761435058763</v>
      </c>
      <c r="Z45" s="43">
        <f t="shared" si="11"/>
        <v>404.08972557065908</v>
      </c>
      <c r="AA45" s="11">
        <f t="shared" si="12"/>
        <v>473.04</v>
      </c>
      <c r="AB45" s="75">
        <f t="shared" si="14"/>
        <v>877.12972557065905</v>
      </c>
    </row>
    <row r="46" spans="1:28" x14ac:dyDescent="0.25">
      <c r="A46" s="59" t="s">
        <v>23</v>
      </c>
      <c r="D46" s="3">
        <f>SUM(D8:D45)</f>
        <v>792000</v>
      </c>
      <c r="E46" s="3">
        <f>SUM(E8:E45)</f>
        <v>3400000</v>
      </c>
      <c r="F46" s="3">
        <f>SUM(F8:F45)</f>
        <v>185000</v>
      </c>
      <c r="G46" s="3">
        <f>SUM(G8:G45)</f>
        <v>4377000</v>
      </c>
      <c r="H46" s="77">
        <f t="shared" ref="H46:I46" si="16">SUM(H8:H45)</f>
        <v>1950000</v>
      </c>
      <c r="I46" s="3">
        <f t="shared" si="16"/>
        <v>0</v>
      </c>
      <c r="M46" s="3">
        <f>SUM(M9:M45)</f>
        <v>994124.87999999977</v>
      </c>
      <c r="N46" s="3">
        <f>SUM(N9:N45)</f>
        <v>1155938.8235294118</v>
      </c>
      <c r="O46" s="3">
        <f>SUM(O9:O45)</f>
        <v>1950000</v>
      </c>
      <c r="P46" s="3">
        <f>SUM(P9:P45)</f>
        <v>4100063.7035294091</v>
      </c>
      <c r="Q46" s="3"/>
      <c r="R46" s="3">
        <f t="shared" ref="R46:T46" si="17">SUM(R9:R45)</f>
        <v>12769.083074781094</v>
      </c>
      <c r="S46" s="3">
        <f t="shared" si="17"/>
        <v>7965.3599999999979</v>
      </c>
      <c r="T46" s="72">
        <f t="shared" si="17"/>
        <v>20734.443074781087</v>
      </c>
      <c r="V46" s="3">
        <f t="shared" ref="V46:AA46" si="18">SUM(V9:V45)</f>
        <v>22533.494837848943</v>
      </c>
      <c r="W46" s="3">
        <f t="shared" si="18"/>
        <v>14039.280000000004</v>
      </c>
      <c r="X46" s="72">
        <f t="shared" si="18"/>
        <v>36572.774837848978</v>
      </c>
      <c r="Z46" s="3">
        <f t="shared" si="18"/>
        <v>28091.758764518363</v>
      </c>
      <c r="AA46" s="3">
        <f t="shared" si="18"/>
        <v>17502.480000000018</v>
      </c>
      <c r="AB46" s="72">
        <f>SUM(AB9:AB45)</f>
        <v>45594.23876451837</v>
      </c>
    </row>
    <row r="47" spans="1:28" x14ac:dyDescent="0.25">
      <c r="E47" s="3">
        <f>E46+D46</f>
        <v>4192000</v>
      </c>
      <c r="T47" s="73"/>
      <c r="X47" s="73"/>
      <c r="AB47" s="73"/>
    </row>
    <row r="48" spans="1:28" x14ac:dyDescent="0.25">
      <c r="K48" s="59" t="s">
        <v>82</v>
      </c>
      <c r="M48" s="8">
        <f>F64*20</f>
        <v>537364.80000000005</v>
      </c>
      <c r="P48" s="10">
        <f t="shared" ref="P48" si="19">SUM(M48:O48)</f>
        <v>537364.80000000005</v>
      </c>
      <c r="R48" s="3">
        <f>84*20</f>
        <v>1680</v>
      </c>
      <c r="S48" s="3">
        <f>215*20</f>
        <v>4300</v>
      </c>
      <c r="T48" s="72">
        <f>S48+R48</f>
        <v>5980</v>
      </c>
      <c r="V48" s="3">
        <f>148*20</f>
        <v>2960</v>
      </c>
      <c r="W48" s="3">
        <f>324*20</f>
        <v>6480</v>
      </c>
      <c r="X48" s="72">
        <f>W48+V48</f>
        <v>9440</v>
      </c>
      <c r="Y48" s="3"/>
      <c r="Z48" s="3">
        <f>184*20</f>
        <v>3680</v>
      </c>
      <c r="AA48" s="3">
        <f>404*20</f>
        <v>8080</v>
      </c>
      <c r="AB48" s="72">
        <f>AA48+Z48</f>
        <v>11760</v>
      </c>
    </row>
    <row r="49" spans="3:28" x14ac:dyDescent="0.25">
      <c r="M49" s="59"/>
      <c r="N49" s="59"/>
      <c r="O49" s="49"/>
      <c r="P49" s="60"/>
      <c r="R49" s="3"/>
    </row>
    <row r="50" spans="3:28" x14ac:dyDescent="0.25">
      <c r="C50" s="28"/>
      <c r="D50" s="29"/>
      <c r="E50" s="29"/>
      <c r="F50" s="30"/>
      <c r="G50" s="30" t="s">
        <v>26</v>
      </c>
      <c r="H50" s="30" t="s">
        <v>31</v>
      </c>
      <c r="I50" s="36" t="s">
        <v>73</v>
      </c>
      <c r="J50" s="15"/>
      <c r="K50" s="56"/>
      <c r="M50" s="5">
        <f t="shared" ref="M50:O50" si="20">M48+M46</f>
        <v>1531489.6799999997</v>
      </c>
      <c r="N50" s="5">
        <f t="shared" si="20"/>
        <v>1155938.8235294118</v>
      </c>
      <c r="O50" s="5">
        <f t="shared" si="20"/>
        <v>1950000</v>
      </c>
      <c r="P50" s="5">
        <f>P48+P46</f>
        <v>4637428.5035294089</v>
      </c>
      <c r="Q50" s="49"/>
      <c r="R50" s="5">
        <f>R48+R46</f>
        <v>14449.083074781094</v>
      </c>
      <c r="S50" s="5">
        <f>S48+S46</f>
        <v>12265.359999999997</v>
      </c>
      <c r="T50" s="5">
        <f>T48+T46</f>
        <v>26714.443074781087</v>
      </c>
      <c r="V50" s="5">
        <f t="shared" ref="V50:AB50" si="21">V48+V46</f>
        <v>25493.494837848943</v>
      </c>
      <c r="W50" s="5">
        <f t="shared" si="21"/>
        <v>20519.280000000006</v>
      </c>
      <c r="X50" s="5">
        <f t="shared" si="21"/>
        <v>46012.774837848978</v>
      </c>
      <c r="Y50" s="5">
        <f t="shared" si="21"/>
        <v>0</v>
      </c>
      <c r="Z50" s="5">
        <f t="shared" si="21"/>
        <v>31771.758764518363</v>
      </c>
      <c r="AA50" s="5">
        <f t="shared" si="21"/>
        <v>25582.480000000018</v>
      </c>
      <c r="AB50" s="5">
        <f t="shared" si="21"/>
        <v>57354.23876451837</v>
      </c>
    </row>
    <row r="51" spans="3:28" x14ac:dyDescent="0.25">
      <c r="C51" s="31" t="s">
        <v>25</v>
      </c>
      <c r="D51" s="19" t="s">
        <v>26</v>
      </c>
      <c r="E51" s="19" t="s">
        <v>27</v>
      </c>
      <c r="F51" s="19" t="s">
        <v>28</v>
      </c>
      <c r="G51" s="19" t="s">
        <v>29</v>
      </c>
      <c r="H51" s="19" t="s">
        <v>30</v>
      </c>
      <c r="I51" s="102" t="s">
        <v>33</v>
      </c>
      <c r="J51" s="15"/>
      <c r="K51" s="56"/>
      <c r="M51" s="19"/>
      <c r="N51" s="39"/>
      <c r="O51" s="40"/>
      <c r="P51" s="10"/>
    </row>
    <row r="52" spans="3:28" x14ac:dyDescent="0.25">
      <c r="C52" s="76">
        <v>40</v>
      </c>
      <c r="D52" s="8">
        <v>680</v>
      </c>
      <c r="E52" s="8">
        <v>187</v>
      </c>
      <c r="F52" s="20">
        <f>E52*D52</f>
        <v>127160</v>
      </c>
      <c r="G52" s="33">
        <f>F52/F55</f>
        <v>0.58238376140402304</v>
      </c>
      <c r="H52" s="35">
        <f>G52/E52</f>
        <v>3.1143516652621553E-3</v>
      </c>
      <c r="I52" s="16">
        <f>H52*H46</f>
        <v>6072.985747261203</v>
      </c>
      <c r="J52" s="15"/>
      <c r="M52" s="50"/>
      <c r="N52" s="51"/>
      <c r="O52" s="51"/>
      <c r="P52" s="168">
        <f>P50-'Plan A'!P54</f>
        <v>-595572.36573781073</v>
      </c>
      <c r="Q52" s="9"/>
      <c r="R52" s="51"/>
      <c r="S52" s="51"/>
      <c r="T52" s="169">
        <f>T50*E52</f>
        <v>4995600.8549840637</v>
      </c>
    </row>
    <row r="53" spans="3:28" x14ac:dyDescent="0.25">
      <c r="C53" s="76">
        <v>60</v>
      </c>
      <c r="D53" s="8">
        <v>1200</v>
      </c>
      <c r="E53" s="8">
        <v>71</v>
      </c>
      <c r="F53" s="20">
        <f t="shared" ref="F53:F54" si="22">E53*D53</f>
        <v>85200</v>
      </c>
      <c r="G53" s="33">
        <f>F53/F55</f>
        <v>0.39020994394167002</v>
      </c>
      <c r="H53" s="35">
        <f>G53/E53</f>
        <v>5.4959147034038033E-3</v>
      </c>
      <c r="I53" s="16">
        <f>H53*H46</f>
        <v>10717.033671637417</v>
      </c>
      <c r="J53" s="15"/>
      <c r="M53" s="50"/>
      <c r="O53" s="51"/>
      <c r="P53" s="58"/>
      <c r="Q53" s="9"/>
      <c r="R53" s="51"/>
      <c r="S53" s="51"/>
      <c r="T53" s="51">
        <f>299*187</f>
        <v>55913</v>
      </c>
    </row>
    <row r="54" spans="3:28" x14ac:dyDescent="0.25">
      <c r="C54" s="76">
        <v>88</v>
      </c>
      <c r="D54" s="8">
        <v>1496</v>
      </c>
      <c r="E54" s="8">
        <v>4</v>
      </c>
      <c r="F54" s="20">
        <f t="shared" si="22"/>
        <v>5984</v>
      </c>
      <c r="G54" s="33">
        <f>F54/F55</f>
        <v>2.7406294654306964E-2</v>
      </c>
      <c r="H54" s="35">
        <f>G54/E54</f>
        <v>6.851573663576741E-3</v>
      </c>
      <c r="I54" s="16">
        <f>H54*H46</f>
        <v>13360.568643974644</v>
      </c>
      <c r="J54" s="15"/>
      <c r="K54" s="79"/>
      <c r="M54" s="50"/>
      <c r="N54" s="52"/>
      <c r="O54" s="51"/>
      <c r="P54" s="52"/>
      <c r="Q54" s="9"/>
      <c r="R54" s="52"/>
      <c r="S54" s="52"/>
      <c r="T54" s="52"/>
    </row>
    <row r="55" spans="3:28" x14ac:dyDescent="0.25">
      <c r="C55" s="34"/>
      <c r="D55" s="6"/>
      <c r="E55" s="6"/>
      <c r="F55" s="6">
        <f>SUM(F52:F54)</f>
        <v>218344</v>
      </c>
      <c r="G55" s="21"/>
      <c r="H55" s="21"/>
      <c r="I55" s="103"/>
      <c r="J55" s="15"/>
      <c r="K55" s="8"/>
      <c r="M55" s="41"/>
      <c r="N55" s="37"/>
      <c r="O55" s="41"/>
    </row>
    <row r="56" spans="3:28" x14ac:dyDescent="0.25">
      <c r="C56" s="8"/>
      <c r="D56" s="8"/>
      <c r="E56" s="8"/>
      <c r="F56" s="8"/>
      <c r="G56" s="15"/>
      <c r="H56" s="15"/>
      <c r="I56" s="15"/>
      <c r="J56" s="15"/>
      <c r="K56" s="8"/>
      <c r="M56" s="41"/>
      <c r="N56" s="37"/>
      <c r="O56" s="41"/>
    </row>
    <row r="57" spans="3:28" x14ac:dyDescent="0.25">
      <c r="C57" s="105" t="s">
        <v>77</v>
      </c>
      <c r="M57" s="41"/>
      <c r="N57" s="37"/>
      <c r="O57" s="41"/>
    </row>
    <row r="58" spans="3:28" x14ac:dyDescent="0.25">
      <c r="C58" s="69" t="s">
        <v>58</v>
      </c>
      <c r="D58" s="65">
        <v>2015</v>
      </c>
      <c r="E58" s="54" t="s">
        <v>61</v>
      </c>
      <c r="F58" s="55" t="s">
        <v>4</v>
      </c>
      <c r="G58" s="55" t="s">
        <v>62</v>
      </c>
      <c r="H58" s="55">
        <v>2015</v>
      </c>
      <c r="I58" s="55" t="s">
        <v>64</v>
      </c>
      <c r="J58" s="84"/>
      <c r="K58" s="54" t="s">
        <v>63</v>
      </c>
      <c r="L58" s="84"/>
      <c r="M58" s="91" t="s">
        <v>157</v>
      </c>
    </row>
    <row r="59" spans="3:28" x14ac:dyDescent="0.25">
      <c r="C59" s="31" t="s">
        <v>25</v>
      </c>
      <c r="D59" s="66" t="s">
        <v>49</v>
      </c>
      <c r="E59" s="56" t="s">
        <v>3</v>
      </c>
      <c r="F59" s="83" t="s">
        <v>3</v>
      </c>
      <c r="G59" s="56" t="s">
        <v>3</v>
      </c>
      <c r="H59" s="56" t="s">
        <v>56</v>
      </c>
      <c r="I59" s="53" t="s">
        <v>55</v>
      </c>
      <c r="J59" s="15"/>
      <c r="K59" s="56" t="s">
        <v>3</v>
      </c>
      <c r="L59" s="15"/>
      <c r="M59" s="68" t="s">
        <v>49</v>
      </c>
    </row>
    <row r="60" spans="3:28" x14ac:dyDescent="0.25">
      <c r="C60" s="32">
        <v>40</v>
      </c>
      <c r="D60" s="62">
        <v>299</v>
      </c>
      <c r="E60" s="8">
        <f>D60*$E$63</f>
        <v>26.91</v>
      </c>
      <c r="F60" s="20">
        <f>D60*$F$63</f>
        <v>83.720000000000013</v>
      </c>
      <c r="G60" s="8">
        <f>D60*$G$63</f>
        <v>110.63</v>
      </c>
      <c r="H60" s="8">
        <f>D60*$H$63</f>
        <v>188.37</v>
      </c>
      <c r="I60" s="8">
        <v>100</v>
      </c>
      <c r="J60" s="15"/>
      <c r="K60" s="79">
        <f>I60+F60</f>
        <v>183.72000000000003</v>
      </c>
      <c r="L60" s="15"/>
      <c r="M60" s="64">
        <f>D60+I60</f>
        <v>399</v>
      </c>
    </row>
    <row r="61" spans="3:28" x14ac:dyDescent="0.25">
      <c r="C61" s="32">
        <v>60</v>
      </c>
      <c r="D61" s="62">
        <v>527</v>
      </c>
      <c r="E61" s="8">
        <f>D61*$E$63</f>
        <v>47.43</v>
      </c>
      <c r="F61" s="20">
        <f>D61*$F$63</f>
        <v>147.56</v>
      </c>
      <c r="G61" s="8">
        <f>D61*$G$63</f>
        <v>194.99</v>
      </c>
      <c r="H61" s="8">
        <f>D61*$H$63</f>
        <v>332.01</v>
      </c>
      <c r="I61" s="8">
        <f>D53*100/D52</f>
        <v>176.47058823529412</v>
      </c>
      <c r="J61" s="15"/>
      <c r="K61" s="79">
        <f>I61+F61</f>
        <v>324.03058823529409</v>
      </c>
      <c r="L61" s="15"/>
      <c r="M61" s="64">
        <f t="shared" ref="M61:M62" si="23">D61+I61</f>
        <v>703.47058823529414</v>
      </c>
    </row>
    <row r="62" spans="3:28" x14ac:dyDescent="0.25">
      <c r="C62" s="32">
        <v>88</v>
      </c>
      <c r="D62" s="62">
        <v>657</v>
      </c>
      <c r="E62" s="8">
        <f>D62*$E$63</f>
        <v>59.129999999999995</v>
      </c>
      <c r="F62" s="20">
        <f>D62*$F$63</f>
        <v>183.96</v>
      </c>
      <c r="G62" s="8">
        <f>D62*$G$63</f>
        <v>243.09</v>
      </c>
      <c r="H62" s="8">
        <f>D62*$H$63</f>
        <v>413.91</v>
      </c>
      <c r="I62" s="8">
        <f>D54*100/D52</f>
        <v>220</v>
      </c>
      <c r="J62" s="15"/>
      <c r="K62" s="79">
        <f>I62+F62</f>
        <v>403.96000000000004</v>
      </c>
      <c r="L62" s="15"/>
      <c r="M62" s="64">
        <f t="shared" si="23"/>
        <v>877</v>
      </c>
    </row>
    <row r="63" spans="3:28" x14ac:dyDescent="0.25">
      <c r="C63" s="57"/>
      <c r="D63" s="80">
        <v>1</v>
      </c>
      <c r="E63" s="81">
        <v>0.09</v>
      </c>
      <c r="F63" s="81">
        <v>0.28000000000000003</v>
      </c>
      <c r="G63" s="78">
        <v>0.37</v>
      </c>
      <c r="H63" s="81">
        <v>0.63</v>
      </c>
      <c r="I63" s="15"/>
      <c r="J63" s="15"/>
      <c r="K63" s="8"/>
      <c r="L63" s="15"/>
      <c r="M63" s="85"/>
    </row>
    <row r="64" spans="3:28" x14ac:dyDescent="0.25">
      <c r="C64" s="61" t="s">
        <v>57</v>
      </c>
      <c r="D64" s="6">
        <f t="shared" ref="D64:I64" si="24">(D60*$E$52)+(D61*$E$53)+(D62*$E$54)</f>
        <v>95958</v>
      </c>
      <c r="E64" s="6">
        <f t="shared" si="24"/>
        <v>8636.2200000000012</v>
      </c>
      <c r="F64" s="6">
        <f t="shared" si="24"/>
        <v>26868.240000000002</v>
      </c>
      <c r="G64" s="6">
        <f t="shared" si="24"/>
        <v>35504.46</v>
      </c>
      <c r="H64" s="6">
        <f t="shared" si="24"/>
        <v>60453.54</v>
      </c>
      <c r="I64" s="6">
        <f t="shared" si="24"/>
        <v>32109.411764705881</v>
      </c>
      <c r="J64" s="21"/>
      <c r="K64" s="6">
        <f>(K60*$E$52)+(K61*$E$53)+(K62*$E$54)</f>
        <v>58977.651764705879</v>
      </c>
      <c r="L64" s="21"/>
      <c r="M64" s="27">
        <f>(M60*$E$52)+(M61*$E$53)+(M62*$E$54)</f>
        <v>128067.41176470587</v>
      </c>
    </row>
    <row r="65" spans="3:14" x14ac:dyDescent="0.25">
      <c r="C65" s="83"/>
      <c r="D65" s="8"/>
      <c r="E65" s="8"/>
      <c r="F65" s="8"/>
      <c r="G65" s="8"/>
      <c r="H65" s="8"/>
      <c r="I65" s="8"/>
      <c r="J65" s="15"/>
      <c r="K65" s="8"/>
      <c r="L65" s="15"/>
      <c r="M65" s="8"/>
    </row>
    <row r="66" spans="3:14" x14ac:dyDescent="0.25">
      <c r="C66" s="105" t="s">
        <v>106</v>
      </c>
      <c r="D66" s="104"/>
    </row>
    <row r="67" spans="3:14" x14ac:dyDescent="0.25">
      <c r="C67" s="69" t="s">
        <v>75</v>
      </c>
      <c r="D67" s="94">
        <v>2017</v>
      </c>
      <c r="E67" s="98">
        <v>2018</v>
      </c>
      <c r="F67" s="98">
        <v>2019</v>
      </c>
      <c r="G67" s="98">
        <v>2020</v>
      </c>
      <c r="H67" s="99" t="s">
        <v>44</v>
      </c>
      <c r="J67" s="47"/>
      <c r="L67" s="47"/>
      <c r="M67" s="47"/>
    </row>
    <row r="68" spans="3:14" x14ac:dyDescent="0.25">
      <c r="C68" s="31" t="s">
        <v>25</v>
      </c>
      <c r="D68" s="95"/>
      <c r="E68" s="15"/>
      <c r="F68" s="8"/>
      <c r="G68" s="8"/>
      <c r="H68" s="16"/>
    </row>
    <row r="69" spans="3:14" x14ac:dyDescent="0.25">
      <c r="C69" s="32">
        <v>40</v>
      </c>
      <c r="D69" s="23">
        <f>SUM($H$14:$H$17)*H52</f>
        <v>1868.6109991572932</v>
      </c>
      <c r="E69" s="8">
        <f>SUM($H$18:$H$21)*H52</f>
        <v>1868.6109991572932</v>
      </c>
      <c r="F69" s="8">
        <f>SUM($H$22:$H$25)*H52</f>
        <v>1868.6109991572932</v>
      </c>
      <c r="G69" s="8">
        <f>SUM($H$26:$H$29)*H52</f>
        <v>467.15274978932331</v>
      </c>
      <c r="H69" s="16">
        <f>SUM(D69:G69)</f>
        <v>6072.985747261203</v>
      </c>
      <c r="I69" s="42"/>
      <c r="J69" s="42"/>
      <c r="L69" s="42"/>
      <c r="M69" s="96"/>
      <c r="N69" s="96"/>
    </row>
    <row r="70" spans="3:14" x14ac:dyDescent="0.25">
      <c r="C70" s="32">
        <v>60</v>
      </c>
      <c r="D70" s="23">
        <f>SUM($H$14:$H$17)*H53</f>
        <v>3297.5488220422822</v>
      </c>
      <c r="E70" s="8">
        <f>SUM($H$18:$H$21)*H53</f>
        <v>3297.5488220422822</v>
      </c>
      <c r="F70" s="8">
        <f>SUM($H$22:$H$25)*H53</f>
        <v>3297.5488220422822</v>
      </c>
      <c r="G70" s="8">
        <f>SUM($H$26:$H$29)*H53</f>
        <v>824.38720551057054</v>
      </c>
      <c r="H70" s="16">
        <f t="shared" ref="H70:H71" si="25">SUM(D70:G70)</f>
        <v>10717.033671637419</v>
      </c>
    </row>
    <row r="71" spans="3:14" x14ac:dyDescent="0.25">
      <c r="C71" s="32">
        <v>88</v>
      </c>
      <c r="D71" s="23">
        <f>SUM($H$14:$H$17)*H54</f>
        <v>4110.944198146045</v>
      </c>
      <c r="E71" s="8">
        <f>SUM($H$18:$H$21)*H54</f>
        <v>4110.944198146045</v>
      </c>
      <c r="F71" s="8">
        <f>SUM($H$22:$H$25)*H54</f>
        <v>4110.944198146045</v>
      </c>
      <c r="G71" s="8">
        <f>SUM($H$26:$H$29)*H54</f>
        <v>1027.7360495365112</v>
      </c>
      <c r="H71" s="16">
        <f t="shared" si="25"/>
        <v>13360.568643974648</v>
      </c>
    </row>
    <row r="72" spans="3:14" x14ac:dyDescent="0.25">
      <c r="C72" s="57"/>
      <c r="D72" s="8"/>
      <c r="E72" s="8"/>
      <c r="F72" s="8"/>
      <c r="G72" s="8"/>
      <c r="H72" s="16"/>
    </row>
    <row r="73" spans="3:14" x14ac:dyDescent="0.25">
      <c r="C73" s="61" t="s">
        <v>73</v>
      </c>
      <c r="D73" s="6">
        <f>(D69*$E$52)+(D70*$E$53)+(D71*$E$54)</f>
        <v>600000.00000000012</v>
      </c>
      <c r="E73" s="6">
        <f>(E69*$E$52)+(E70*$E$53)+(E71*$E$54)</f>
        <v>600000.00000000012</v>
      </c>
      <c r="F73" s="6">
        <f>(F69*$E$52)+(F70*$E$53)+(F71*$E$54)</f>
        <v>600000.00000000012</v>
      </c>
      <c r="G73" s="6">
        <f>(G69*$E$52)+(G70*$E$53)+(G71*$E$54)</f>
        <v>150000.00000000003</v>
      </c>
      <c r="H73" s="27">
        <f>SUM(D73:G73)</f>
        <v>1950000.0000000005</v>
      </c>
    </row>
    <row r="75" spans="3:14" x14ac:dyDescent="0.25">
      <c r="C75" s="105" t="s">
        <v>107</v>
      </c>
      <c r="D75" s="104"/>
    </row>
    <row r="76" spans="3:14" x14ac:dyDescent="0.25">
      <c r="C76" s="69" t="s">
        <v>109</v>
      </c>
      <c r="D76" s="94">
        <v>2017</v>
      </c>
      <c r="E76" s="98">
        <v>2018</v>
      </c>
      <c r="F76" s="98">
        <v>2019</v>
      </c>
      <c r="G76" s="98">
        <v>2020</v>
      </c>
      <c r="H76" s="99" t="s">
        <v>44</v>
      </c>
      <c r="J76" s="47"/>
      <c r="L76" s="47"/>
      <c r="M76" s="47"/>
    </row>
    <row r="77" spans="3:14" x14ac:dyDescent="0.25">
      <c r="C77" s="31" t="s">
        <v>25</v>
      </c>
      <c r="D77" s="95"/>
      <c r="E77" s="15"/>
      <c r="F77" s="8"/>
      <c r="G77" s="8"/>
      <c r="H77" s="16"/>
    </row>
    <row r="78" spans="3:14" x14ac:dyDescent="0.25">
      <c r="C78" s="32">
        <v>40</v>
      </c>
      <c r="D78" s="154">
        <f>D69/4</f>
        <v>467.15274978932331</v>
      </c>
      <c r="E78" s="154">
        <f t="shared" ref="E78:G78" si="26">E69/4</f>
        <v>467.15274978932331</v>
      </c>
      <c r="F78" s="154">
        <f t="shared" si="26"/>
        <v>467.15274978932331</v>
      </c>
      <c r="G78" s="154">
        <f t="shared" si="26"/>
        <v>116.78818744733083</v>
      </c>
      <c r="H78" s="16">
        <f>SUM(D78:G78)</f>
        <v>1518.2464368153007</v>
      </c>
      <c r="I78" s="42"/>
      <c r="J78" s="42"/>
      <c r="L78" s="42"/>
      <c r="M78" s="96"/>
      <c r="N78" s="96"/>
    </row>
    <row r="79" spans="3:14" x14ac:dyDescent="0.25">
      <c r="C79" s="32">
        <v>60</v>
      </c>
      <c r="D79" s="154">
        <f t="shared" ref="D79:G79" si="27">D70/4</f>
        <v>824.38720551057054</v>
      </c>
      <c r="E79" s="154">
        <f t="shared" si="27"/>
        <v>824.38720551057054</v>
      </c>
      <c r="F79" s="154">
        <f t="shared" si="27"/>
        <v>824.38720551057054</v>
      </c>
      <c r="G79" s="154">
        <f t="shared" si="27"/>
        <v>206.09680137764263</v>
      </c>
      <c r="H79" s="16">
        <f t="shared" ref="H79:H80" si="28">SUM(D79:G79)</f>
        <v>2679.2584179093546</v>
      </c>
    </row>
    <row r="80" spans="3:14" x14ac:dyDescent="0.25">
      <c r="C80" s="32">
        <v>88</v>
      </c>
      <c r="D80" s="154">
        <f t="shared" ref="D80:G80" si="29">D71/4</f>
        <v>1027.7360495365112</v>
      </c>
      <c r="E80" s="154">
        <f t="shared" si="29"/>
        <v>1027.7360495365112</v>
      </c>
      <c r="F80" s="154">
        <f t="shared" si="29"/>
        <v>1027.7360495365112</v>
      </c>
      <c r="G80" s="154">
        <f t="shared" si="29"/>
        <v>256.93401238412781</v>
      </c>
      <c r="H80" s="16">
        <f t="shared" si="28"/>
        <v>3340.1421609936619</v>
      </c>
    </row>
    <row r="81" spans="3:8" x14ac:dyDescent="0.25">
      <c r="C81" s="57"/>
      <c r="D81" s="8"/>
      <c r="E81" s="8"/>
      <c r="F81" s="8"/>
      <c r="G81" s="8"/>
      <c r="H81" s="16"/>
    </row>
    <row r="82" spans="3:8" x14ac:dyDescent="0.25">
      <c r="C82" s="61" t="s">
        <v>73</v>
      </c>
      <c r="D82" s="6">
        <f>(D78*$E$52)+(D79*$E$53)+(D80*$E$54)</f>
        <v>150000.00000000003</v>
      </c>
      <c r="E82" s="6">
        <f>(E78*$E$52)+(E79*$E$53)+(E80*$E$54)</f>
        <v>150000.00000000003</v>
      </c>
      <c r="F82" s="6">
        <f>(F78*$E$52)+(F79*$E$53)+(F80*$E$54)</f>
        <v>150000.00000000003</v>
      </c>
      <c r="G82" s="6">
        <f>(G78*$E$52)+(G79*$E$53)+(G80*$E$54)</f>
        <v>37500.000000000007</v>
      </c>
      <c r="H82" s="27">
        <f>SUM(D82:G82)</f>
        <v>487500.00000000012</v>
      </c>
    </row>
    <row r="84" spans="3:8" x14ac:dyDescent="0.25">
      <c r="C84" s="105" t="s">
        <v>108</v>
      </c>
      <c r="D84" s="104"/>
    </row>
    <row r="85" spans="3:8" x14ac:dyDescent="0.25">
      <c r="C85" s="69" t="s">
        <v>109</v>
      </c>
      <c r="D85" s="94">
        <v>2017</v>
      </c>
      <c r="E85" s="98">
        <v>2018</v>
      </c>
      <c r="F85" s="98">
        <v>2019</v>
      </c>
      <c r="G85" s="98">
        <v>2020</v>
      </c>
      <c r="H85" s="99" t="s">
        <v>44</v>
      </c>
    </row>
    <row r="86" spans="3:8" x14ac:dyDescent="0.25">
      <c r="C86" s="31" t="s">
        <v>25</v>
      </c>
      <c r="D86" s="95"/>
      <c r="E86" s="15"/>
      <c r="F86" s="8"/>
      <c r="G86" s="8"/>
      <c r="H86" s="16"/>
    </row>
    <row r="87" spans="3:8" x14ac:dyDescent="0.25">
      <c r="C87" s="32">
        <v>40</v>
      </c>
      <c r="D87" s="154">
        <f>D78+$M60</f>
        <v>866.15274978932325</v>
      </c>
      <c r="E87" s="154">
        <f t="shared" ref="E87:G87" si="30">E78+$M60</f>
        <v>866.15274978932325</v>
      </c>
      <c r="F87" s="154">
        <f t="shared" si="30"/>
        <v>866.15274978932325</v>
      </c>
      <c r="G87" s="154">
        <f t="shared" si="30"/>
        <v>515.78818744733087</v>
      </c>
      <c r="H87" s="16">
        <f>SUM(D87:G87)</f>
        <v>3114.246436815301</v>
      </c>
    </row>
    <row r="88" spans="3:8" x14ac:dyDescent="0.25">
      <c r="C88" s="32">
        <v>60</v>
      </c>
      <c r="D88" s="154">
        <f t="shared" ref="D88:G88" si="31">D79+$M61</f>
        <v>1527.8577937458647</v>
      </c>
      <c r="E88" s="154">
        <f t="shared" si="31"/>
        <v>1527.8577937458647</v>
      </c>
      <c r="F88" s="154">
        <f t="shared" si="31"/>
        <v>1527.8577937458647</v>
      </c>
      <c r="G88" s="154">
        <f t="shared" si="31"/>
        <v>909.56738961293672</v>
      </c>
      <c r="H88" s="16">
        <f t="shared" ref="H88:H89" si="32">SUM(D88:G88)</f>
        <v>5493.1407708505303</v>
      </c>
    </row>
    <row r="89" spans="3:8" x14ac:dyDescent="0.25">
      <c r="C89" s="32">
        <v>88</v>
      </c>
      <c r="D89" s="154">
        <f t="shared" ref="D89:G89" si="33">D80+$M62</f>
        <v>1904.7360495365112</v>
      </c>
      <c r="E89" s="154">
        <f t="shared" si="33"/>
        <v>1904.7360495365112</v>
      </c>
      <c r="F89" s="154">
        <f t="shared" si="33"/>
        <v>1904.7360495365112</v>
      </c>
      <c r="G89" s="154">
        <f t="shared" si="33"/>
        <v>1133.9340123841278</v>
      </c>
      <c r="H89" s="16">
        <f t="shared" si="32"/>
        <v>6848.1421609936615</v>
      </c>
    </row>
    <row r="90" spans="3:8" x14ac:dyDescent="0.25">
      <c r="C90" s="57"/>
      <c r="D90" s="8"/>
      <c r="E90" s="8"/>
      <c r="F90" s="8"/>
      <c r="G90" s="8"/>
      <c r="H90" s="16"/>
    </row>
    <row r="91" spans="3:8" x14ac:dyDescent="0.25">
      <c r="C91" s="61" t="s">
        <v>73</v>
      </c>
      <c r="D91" s="6">
        <f>(D87*$E$52)+(D88*$E$53)+(D89*$E$54)</f>
        <v>278067.4117647059</v>
      </c>
      <c r="E91" s="6">
        <f>(E87*$E$52)+(E88*$E$53)+(E89*$E$54)</f>
        <v>278067.4117647059</v>
      </c>
      <c r="F91" s="6">
        <f>(F87*$E$52)+(F88*$E$53)+(F89*$E$54)</f>
        <v>278067.4117647059</v>
      </c>
      <c r="G91" s="6">
        <f>(G87*$E$52)+(G88*$E$53)+(G89*$E$54)</f>
        <v>165567.41176470587</v>
      </c>
      <c r="H91" s="27">
        <f>SUM(D91:G91)</f>
        <v>999769.64705882361</v>
      </c>
    </row>
  </sheetData>
  <pageMargins left="0.25" right="0.25" top="0.75" bottom="0.75" header="0.3" footer="0.3"/>
  <pageSetup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opLeftCell="A6" workbookViewId="0">
      <selection activeCell="O14" sqref="O14"/>
    </sheetView>
  </sheetViews>
  <sheetFormatPr defaultRowHeight="15" x14ac:dyDescent="0.25"/>
  <cols>
    <col min="1" max="1" width="12.42578125" customWidth="1"/>
    <col min="2" max="2" width="2" customWidth="1"/>
    <col min="3" max="3" width="11.5703125" customWidth="1"/>
    <col min="4" max="4" width="10.5703125" bestFit="1" customWidth="1"/>
    <col min="5" max="5" width="9.5703125" bestFit="1" customWidth="1"/>
    <col min="6" max="6" width="11.42578125" customWidth="1"/>
    <col min="7" max="7" width="11" bestFit="1" customWidth="1"/>
    <col min="8" max="8" width="11.5703125" bestFit="1" customWidth="1"/>
    <col min="9" max="9" width="12.5703125" bestFit="1" customWidth="1"/>
    <col min="10" max="10" width="1" customWidth="1"/>
    <col min="11" max="11" width="12.5703125" bestFit="1" customWidth="1"/>
    <col min="12" max="12" width="1.42578125" customWidth="1"/>
    <col min="13" max="15" width="11.5703125" bestFit="1" customWidth="1"/>
    <col min="16" max="16" width="12.140625" customWidth="1"/>
    <col min="17" max="17" width="10.28515625" customWidth="1"/>
  </cols>
  <sheetData>
    <row r="1" spans="1:16" ht="18.75" x14ac:dyDescent="0.3">
      <c r="A1" s="86" t="s">
        <v>71</v>
      </c>
    </row>
    <row r="2" spans="1:16" x14ac:dyDescent="0.25">
      <c r="A2" s="134">
        <v>42485</v>
      </c>
    </row>
    <row r="3" spans="1:16" x14ac:dyDescent="0.25">
      <c r="C3" s="90"/>
      <c r="D3" s="55"/>
      <c r="E3" s="55"/>
      <c r="F3" s="55"/>
      <c r="G3" s="55" t="str">
        <f>'Plan A'!G66</f>
        <v>Area</v>
      </c>
      <c r="H3" s="55" t="str">
        <f>'Plan A'!H66</f>
        <v>Slip</v>
      </c>
      <c r="I3" s="111" t="str">
        <f>'Plan A'!I66</f>
        <v>Loan</v>
      </c>
      <c r="J3" s="111">
        <f>'Plan A'!J66</f>
        <v>0</v>
      </c>
      <c r="K3" s="112" t="str">
        <f>'Plan A'!K66</f>
        <v>Liability</v>
      </c>
      <c r="M3" s="12" t="s">
        <v>35</v>
      </c>
      <c r="N3" s="13"/>
      <c r="O3" s="13"/>
      <c r="P3" s="46">
        <v>2000000</v>
      </c>
    </row>
    <row r="4" spans="1:16" x14ac:dyDescent="0.25">
      <c r="C4" s="92" t="str">
        <f>'Plan A'!C67</f>
        <v>Slip Size</v>
      </c>
      <c r="D4" s="83" t="str">
        <f>'Plan A'!D67</f>
        <v>Area</v>
      </c>
      <c r="E4" s="83" t="str">
        <f>'Plan A'!E67</f>
        <v>Count</v>
      </c>
      <c r="F4" s="83" t="str">
        <f>'Plan A'!F67</f>
        <v>Total Area</v>
      </c>
      <c r="G4" s="83" t="str">
        <f>'Plan A'!G67</f>
        <v>Fraction</v>
      </c>
      <c r="H4" s="83" t="str">
        <f>'Plan A'!H67</f>
        <v>Factor</v>
      </c>
      <c r="I4" s="113" t="str">
        <f>'Plan A'!I67</f>
        <v>Liability</v>
      </c>
      <c r="J4" s="113">
        <f>'Plan A'!J67</f>
        <v>0</v>
      </c>
      <c r="K4" s="114" t="str">
        <f>'Plan A'!K67</f>
        <v>w Interest</v>
      </c>
      <c r="M4" s="14" t="s">
        <v>39</v>
      </c>
      <c r="N4" s="8"/>
      <c r="O4" s="8"/>
      <c r="P4" s="45">
        <v>0.05</v>
      </c>
    </row>
    <row r="5" spans="1:16" x14ac:dyDescent="0.25">
      <c r="C5" s="107">
        <f>'Plan A'!C68</f>
        <v>40</v>
      </c>
      <c r="D5" s="15">
        <f>'Plan A'!D68</f>
        <v>680</v>
      </c>
      <c r="E5" s="15">
        <f>'Plan A'!E68</f>
        <v>187</v>
      </c>
      <c r="F5" s="8">
        <f>'Plan A'!F68</f>
        <v>127160</v>
      </c>
      <c r="G5" s="109">
        <f>'Plan A'!G68</f>
        <v>0.58238376140402304</v>
      </c>
      <c r="H5" s="109">
        <f>'Plan A'!H68</f>
        <v>3.1143516652621553E-3</v>
      </c>
      <c r="I5" s="123">
        <f>'Plan A'!I68</f>
        <v>6228.7033305243103</v>
      </c>
      <c r="J5" s="123">
        <f>'Plan A'!J68</f>
        <v>0</v>
      </c>
      <c r="K5" s="131">
        <f>'Plan A'!K68</f>
        <v>7927.8075362808577</v>
      </c>
      <c r="M5" s="14" t="s">
        <v>37</v>
      </c>
      <c r="N5" s="8"/>
      <c r="O5" s="8"/>
      <c r="P5" s="44">
        <v>10</v>
      </c>
    </row>
    <row r="6" spans="1:16" x14ac:dyDescent="0.25">
      <c r="C6" s="107">
        <f>'Plan A'!C69</f>
        <v>60</v>
      </c>
      <c r="D6" s="15">
        <f>'Plan A'!D69</f>
        <v>1200</v>
      </c>
      <c r="E6" s="15">
        <f>'Plan A'!E69</f>
        <v>71</v>
      </c>
      <c r="F6" s="8">
        <f>'Plan A'!F69</f>
        <v>85200</v>
      </c>
      <c r="G6" s="109">
        <f>'Plan A'!G69</f>
        <v>0.39020994394167002</v>
      </c>
      <c r="H6" s="109">
        <f>'Plan A'!H69</f>
        <v>5.4959147034038033E-3</v>
      </c>
      <c r="I6" s="123">
        <f>'Plan A'!I69</f>
        <v>10991.829406807607</v>
      </c>
      <c r="J6" s="123">
        <f>'Plan A'!J69</f>
        <v>0</v>
      </c>
      <c r="K6" s="131">
        <f>'Plan A'!K69</f>
        <v>13990.248593436807</v>
      </c>
      <c r="M6" s="14" t="s">
        <v>38</v>
      </c>
      <c r="N6" s="8"/>
      <c r="O6" s="8"/>
      <c r="P6" s="16">
        <v>5</v>
      </c>
    </row>
    <row r="7" spans="1:16" x14ac:dyDescent="0.25">
      <c r="C7" s="107">
        <f>'Plan A'!C70</f>
        <v>88</v>
      </c>
      <c r="D7" s="15">
        <f>'Plan A'!D70</f>
        <v>1496</v>
      </c>
      <c r="E7" s="15">
        <f>'Plan A'!E70</f>
        <v>4</v>
      </c>
      <c r="F7" s="8">
        <f>'Plan A'!F70</f>
        <v>5984</v>
      </c>
      <c r="G7" s="109">
        <f>'Plan A'!G70</f>
        <v>2.7406294654306964E-2</v>
      </c>
      <c r="H7" s="109">
        <f>'Plan A'!H70</f>
        <v>6.851573663576741E-3</v>
      </c>
      <c r="I7" s="123">
        <f>'Plan A'!I70</f>
        <v>13703.147327153481</v>
      </c>
      <c r="J7" s="123">
        <f>'Plan A'!J70</f>
        <v>0</v>
      </c>
      <c r="K7" s="131">
        <f>'Plan A'!K70</f>
        <v>17441.176579817886</v>
      </c>
      <c r="M7" s="14" t="s">
        <v>42</v>
      </c>
      <c r="N7" s="8"/>
      <c r="O7" s="8"/>
      <c r="P7" s="18">
        <f>PMT(P4/12,P5*12,P3,0)*-1</f>
        <v>21213.103047815046</v>
      </c>
    </row>
    <row r="8" spans="1:16" x14ac:dyDescent="0.25">
      <c r="C8" s="108"/>
      <c r="D8" s="21"/>
      <c r="E8" s="21"/>
      <c r="F8" s="6">
        <f>'Plan A'!F71</f>
        <v>218344</v>
      </c>
      <c r="G8" s="110"/>
      <c r="H8" s="110"/>
      <c r="I8" s="115"/>
      <c r="J8" s="115"/>
      <c r="K8" s="116"/>
      <c r="M8" s="14" t="s">
        <v>47</v>
      </c>
      <c r="N8" s="8"/>
      <c r="O8" s="8"/>
      <c r="P8" s="18">
        <f>P7*3</f>
        <v>63639.309143445134</v>
      </c>
    </row>
    <row r="9" spans="1:16" x14ac:dyDescent="0.25">
      <c r="M9" s="17" t="s">
        <v>36</v>
      </c>
      <c r="N9" s="6"/>
      <c r="O9" s="6"/>
      <c r="P9" s="27">
        <f>FV(P4/12,P6*12,P7*-1,P3)*-1</f>
        <v>1124097.313825971</v>
      </c>
    </row>
    <row r="11" spans="1:16" x14ac:dyDescent="0.25">
      <c r="A11" s="49" t="s">
        <v>69</v>
      </c>
      <c r="C11" s="151" t="str">
        <f>'Plan A'!C73</f>
        <v>Qtrly</v>
      </c>
      <c r="D11" s="65">
        <f>'Plan A'!D73</f>
        <v>2015</v>
      </c>
      <c r="E11" s="55" t="str">
        <f>'Plan A'!E73</f>
        <v>General</v>
      </c>
      <c r="F11" s="55" t="str">
        <f>'Plan A'!F73</f>
        <v>Dock</v>
      </c>
      <c r="G11" s="55" t="str">
        <f>'Plan A'!G73</f>
        <v>2015 Total</v>
      </c>
      <c r="H11" s="55">
        <f>'Plan A'!H73</f>
        <v>2015</v>
      </c>
      <c r="I11" s="55" t="str">
        <f>'Plan A'!I73</f>
        <v>2016 Dock</v>
      </c>
      <c r="J11" s="55"/>
      <c r="K11" s="55" t="str">
        <f>'Plan A'!K73</f>
        <v>Total Dock</v>
      </c>
      <c r="L11" s="55"/>
      <c r="M11" s="111" t="str">
        <f>'Plan A'!M73</f>
        <v>2016-2019</v>
      </c>
      <c r="N11" s="111" t="str">
        <f>'Plan A'!N73</f>
        <v>2020-2024</v>
      </c>
      <c r="O11" s="112" t="str">
        <f>'Plan A'!O73</f>
        <v>2025-2029</v>
      </c>
    </row>
    <row r="12" spans="1:16" x14ac:dyDescent="0.25">
      <c r="A12" s="49" t="s">
        <v>115</v>
      </c>
      <c r="C12" s="92" t="str">
        <f>'Plan A'!C74</f>
        <v>Slip Size</v>
      </c>
      <c r="D12" s="82" t="str">
        <f>'Plan A'!D74</f>
        <v>Dues</v>
      </c>
      <c r="E12" s="83" t="str">
        <f>'Plan A'!E74</f>
        <v>Reserve</v>
      </c>
      <c r="F12" s="83" t="str">
        <f>'Plan A'!F74</f>
        <v>Reserve</v>
      </c>
      <c r="G12" s="83" t="str">
        <f>'Plan A'!G74</f>
        <v>Reserve</v>
      </c>
      <c r="H12" s="83" t="str">
        <f>'Plan A'!H74</f>
        <v>Operations</v>
      </c>
      <c r="I12" s="83" t="str">
        <f>'Plan A'!I74</f>
        <v>Assesmnt</v>
      </c>
      <c r="J12" s="83"/>
      <c r="K12" s="83" t="str">
        <f>'Plan A'!K74</f>
        <v>Reserve</v>
      </c>
      <c r="L12" s="83"/>
      <c r="M12" s="113" t="str">
        <f>'Plan A'!M74</f>
        <v>Dues</v>
      </c>
      <c r="N12" s="113" t="str">
        <f>'Plan A'!N74</f>
        <v>Dues+Loan</v>
      </c>
      <c r="O12" s="114" t="str">
        <f>'Plan A'!O74</f>
        <v>Dues+Loan</v>
      </c>
    </row>
    <row r="13" spans="1:16" x14ac:dyDescent="0.25">
      <c r="A13" s="49" t="s">
        <v>34</v>
      </c>
      <c r="C13" s="32">
        <f>'Plan A'!C75</f>
        <v>40</v>
      </c>
      <c r="D13" s="63">
        <f>'Plan A'!D75</f>
        <v>299</v>
      </c>
      <c r="E13" s="8">
        <f>'Plan A'!E75</f>
        <v>26.91</v>
      </c>
      <c r="F13" s="8">
        <f>'Plan A'!F75</f>
        <v>83.720000000000013</v>
      </c>
      <c r="G13" s="8">
        <f>'Plan A'!G75</f>
        <v>110.63</v>
      </c>
      <c r="H13" s="8">
        <f>'Plan A'!H75</f>
        <v>188.37</v>
      </c>
      <c r="I13" s="8">
        <f>'Plan A'!I75</f>
        <v>100</v>
      </c>
      <c r="J13" s="8"/>
      <c r="K13" s="8">
        <f>'Plan A'!K75</f>
        <v>183.72000000000003</v>
      </c>
      <c r="L13" s="8"/>
      <c r="M13" s="123">
        <f>'Plan A'!M75</f>
        <v>399</v>
      </c>
      <c r="N13" s="123">
        <f>'Plan A'!N75</f>
        <v>597.15233639368466</v>
      </c>
      <c r="O13" s="131">
        <f>'Plan A'!O75</f>
        <v>497.15233639368478</v>
      </c>
    </row>
    <row r="14" spans="1:16" x14ac:dyDescent="0.25">
      <c r="C14" s="32">
        <f>'Plan A'!C76</f>
        <v>60</v>
      </c>
      <c r="D14" s="63">
        <f>'Plan A'!D76</f>
        <v>527</v>
      </c>
      <c r="E14" s="8">
        <f>'Plan A'!E76</f>
        <v>47.43</v>
      </c>
      <c r="F14" s="8">
        <f>'Plan A'!F76</f>
        <v>147.56</v>
      </c>
      <c r="G14" s="8">
        <f>'Plan A'!G76</f>
        <v>194.99</v>
      </c>
      <c r="H14" s="8">
        <f>'Plan A'!H76</f>
        <v>332.01</v>
      </c>
      <c r="I14" s="8">
        <f>'Plan A'!I76</f>
        <v>176.47058823529412</v>
      </c>
      <c r="J14" s="8"/>
      <c r="K14" s="8">
        <f>'Plan A'!K76</f>
        <v>324.03058823529409</v>
      </c>
      <c r="L14" s="8"/>
      <c r="M14" s="123">
        <f>'Plan A'!M76</f>
        <v>703.47058823529414</v>
      </c>
      <c r="N14" s="123">
        <f>'Plan A'!N76</f>
        <v>1053.3323583417964</v>
      </c>
      <c r="O14" s="131">
        <f>'Plan A'!O76</f>
        <v>876.86177010650249</v>
      </c>
    </row>
    <row r="15" spans="1:16" x14ac:dyDescent="0.25">
      <c r="C15" s="32">
        <f>'Plan A'!C77</f>
        <v>88</v>
      </c>
      <c r="D15" s="63">
        <f>'Plan A'!D77</f>
        <v>657</v>
      </c>
      <c r="E15" s="8">
        <f>'Plan A'!E77</f>
        <v>59.129999999999995</v>
      </c>
      <c r="F15" s="8">
        <f>'Plan A'!F77</f>
        <v>183.96</v>
      </c>
      <c r="G15" s="8">
        <f>'Plan A'!G77</f>
        <v>243.09</v>
      </c>
      <c r="H15" s="8">
        <f>'Plan A'!H77</f>
        <v>413.91</v>
      </c>
      <c r="I15" s="8">
        <f>'Plan A'!I77</f>
        <v>220</v>
      </c>
      <c r="J15" s="8"/>
      <c r="K15" s="8">
        <f>'Plan A'!K77</f>
        <v>403.96000000000004</v>
      </c>
      <c r="L15" s="8"/>
      <c r="M15" s="123">
        <f>'Plan A'!M77</f>
        <v>877</v>
      </c>
      <c r="N15" s="123">
        <f>'Plan A'!N77</f>
        <v>1313.1591400661064</v>
      </c>
      <c r="O15" s="131">
        <f>'Plan A'!O77</f>
        <v>1093.1591400661064</v>
      </c>
    </row>
    <row r="16" spans="1:16" x14ac:dyDescent="0.25">
      <c r="C16" s="32"/>
      <c r="D16" s="78">
        <f>'Plan A'!D78</f>
        <v>1</v>
      </c>
      <c r="E16" s="78">
        <f>'Plan A'!E78</f>
        <v>0.09</v>
      </c>
      <c r="F16" s="78">
        <f>'Plan A'!F78</f>
        <v>0.28000000000000003</v>
      </c>
      <c r="G16" s="78">
        <f>'Plan A'!G78</f>
        <v>0.37</v>
      </c>
      <c r="H16" s="78">
        <f>'Plan A'!H78</f>
        <v>0.63</v>
      </c>
      <c r="I16" s="8"/>
      <c r="J16" s="8"/>
      <c r="K16" s="8"/>
      <c r="L16" s="8"/>
      <c r="M16" s="8"/>
      <c r="N16" s="8"/>
      <c r="O16" s="16"/>
    </row>
    <row r="17" spans="1:17" x14ac:dyDescent="0.25">
      <c r="C17" s="34" t="str">
        <f>'Plan A'!C79</f>
        <v>Qtr Income</v>
      </c>
      <c r="D17" s="6">
        <f>'Plan A'!D79</f>
        <v>95958</v>
      </c>
      <c r="E17" s="6">
        <f>'Plan A'!E79</f>
        <v>8636.2200000000012</v>
      </c>
      <c r="F17" s="6">
        <f>'Plan A'!F79</f>
        <v>26868.240000000002</v>
      </c>
      <c r="G17" s="6">
        <f>'Plan A'!G79</f>
        <v>35504.46</v>
      </c>
      <c r="H17" s="6">
        <f>'Plan A'!H79</f>
        <v>60453.54</v>
      </c>
      <c r="I17" s="6">
        <f>'Plan A'!I79</f>
        <v>32109.411764705881</v>
      </c>
      <c r="J17" s="6"/>
      <c r="K17" s="6">
        <f>'Plan A'!K79</f>
        <v>58977.651764705879</v>
      </c>
      <c r="L17" s="6"/>
      <c r="M17" s="6">
        <f>'Plan A'!M79</f>
        <v>128067.41176470587</v>
      </c>
      <c r="N17" s="6">
        <f>'Plan A'!N79</f>
        <v>191706.72090815101</v>
      </c>
      <c r="O17" s="27">
        <f>'Plan A'!O79</f>
        <v>159597.30914344513</v>
      </c>
    </row>
    <row r="18" spans="1:17" x14ac:dyDescent="0.2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7" x14ac:dyDescent="0.2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7" x14ac:dyDescent="0.25">
      <c r="A20" s="49" t="s">
        <v>70</v>
      </c>
      <c r="C20" s="153" t="str">
        <f>'Plan B'!C71</f>
        <v>Qtrly</v>
      </c>
      <c r="D20" s="87">
        <f>'Plan B'!D71</f>
        <v>2015</v>
      </c>
      <c r="E20" s="54" t="str">
        <f>'Plan B'!E71</f>
        <v>General</v>
      </c>
      <c r="F20" s="54" t="str">
        <f>'Plan B'!F71</f>
        <v>Dock</v>
      </c>
      <c r="G20" s="54" t="str">
        <f>'Plan B'!G71</f>
        <v>2015 Total</v>
      </c>
      <c r="H20" s="88">
        <f>'Plan B'!H71</f>
        <v>2015</v>
      </c>
      <c r="I20" s="54" t="str">
        <f>'Plan B'!I71</f>
        <v>2016 Dock</v>
      </c>
      <c r="J20" s="54"/>
      <c r="K20" s="54" t="str">
        <f>'Plan B'!K71</f>
        <v>Total Dock</v>
      </c>
      <c r="L20" s="54"/>
      <c r="M20" s="117" t="str">
        <f>'Plan B'!M71</f>
        <v>2016-2018</v>
      </c>
      <c r="N20" s="117" t="str">
        <f>'Plan B'!N71</f>
        <v>2019-2024</v>
      </c>
      <c r="O20" s="119" t="str">
        <f>'Plan B'!O71</f>
        <v>2025-2028</v>
      </c>
    </row>
    <row r="21" spans="1:17" x14ac:dyDescent="0.25">
      <c r="A21" s="49" t="s">
        <v>115</v>
      </c>
      <c r="C21" s="89" t="str">
        <f>'Plan B'!C72</f>
        <v>Slip Size</v>
      </c>
      <c r="D21" s="67" t="str">
        <f>'Plan B'!D72</f>
        <v>Dues</v>
      </c>
      <c r="E21" s="56" t="str">
        <f>'Plan B'!E72</f>
        <v>Reserve</v>
      </c>
      <c r="F21" s="56" t="str">
        <f>'Plan B'!F72</f>
        <v>Reserve</v>
      </c>
      <c r="G21" s="56" t="str">
        <f>'Plan B'!G72</f>
        <v>Reserve</v>
      </c>
      <c r="H21" s="56" t="str">
        <f>'Plan B'!H72</f>
        <v>Operations</v>
      </c>
      <c r="I21" s="56" t="str">
        <f>'Plan B'!I72</f>
        <v>Assesmnt</v>
      </c>
      <c r="J21" s="56"/>
      <c r="K21" s="56" t="str">
        <f>'Plan B'!K72</f>
        <v>Reserve</v>
      </c>
      <c r="L21" s="56"/>
      <c r="M21" s="129" t="str">
        <f>'Plan B'!M72</f>
        <v>Dues</v>
      </c>
      <c r="N21" s="129" t="str">
        <f>'Plan B'!N72</f>
        <v>Dues+Loan</v>
      </c>
      <c r="O21" s="122" t="str">
        <f>'Plan B'!O72</f>
        <v>Dues+Loan</v>
      </c>
    </row>
    <row r="22" spans="1:17" x14ac:dyDescent="0.25">
      <c r="A22" s="49" t="s">
        <v>34</v>
      </c>
      <c r="C22" s="32">
        <f>'Plan B'!C73</f>
        <v>40</v>
      </c>
      <c r="D22" s="63">
        <f>'Plan B'!D73</f>
        <v>299</v>
      </c>
      <c r="E22" s="8">
        <f>'Plan B'!E73</f>
        <v>26.91</v>
      </c>
      <c r="F22" s="8">
        <f>'Plan B'!F73</f>
        <v>83.720000000000013</v>
      </c>
      <c r="G22" s="8">
        <f>'Plan B'!G73</f>
        <v>110.63</v>
      </c>
      <c r="H22" s="8">
        <f>'Plan B'!H73</f>
        <v>188.37</v>
      </c>
      <c r="I22" s="8">
        <f>'Plan B'!I73</f>
        <v>100</v>
      </c>
      <c r="J22" s="8"/>
      <c r="K22" s="8">
        <f>'Plan B'!K73</f>
        <v>183.72000000000003</v>
      </c>
      <c r="L22" s="8"/>
      <c r="M22" s="123">
        <f>'Plan B'!M73</f>
        <v>399</v>
      </c>
      <c r="N22" s="123">
        <f>'Plan B'!N73</f>
        <v>607.06209581403584</v>
      </c>
      <c r="O22" s="131">
        <f>'Plan B'!O73</f>
        <v>507.06209581403584</v>
      </c>
    </row>
    <row r="23" spans="1:17" x14ac:dyDescent="0.25">
      <c r="C23" s="32">
        <f>'Plan B'!C74</f>
        <v>60</v>
      </c>
      <c r="D23" s="63">
        <f>'Plan B'!D74</f>
        <v>527</v>
      </c>
      <c r="E23" s="8">
        <f>'Plan B'!E74</f>
        <v>47.43</v>
      </c>
      <c r="F23" s="8">
        <f>'Plan B'!F74</f>
        <v>147.56</v>
      </c>
      <c r="G23" s="8">
        <f>'Plan B'!G74</f>
        <v>194.99</v>
      </c>
      <c r="H23" s="8">
        <f>'Plan B'!H74</f>
        <v>332.01</v>
      </c>
      <c r="I23" s="8">
        <f>'Plan B'!I74</f>
        <v>176.47058823529412</v>
      </c>
      <c r="J23" s="8"/>
      <c r="K23" s="8">
        <f>'Plan B'!K74</f>
        <v>324.03058823529409</v>
      </c>
      <c r="L23" s="8"/>
      <c r="M23" s="123">
        <f>'Plan B'!M74</f>
        <v>703.47058823529414</v>
      </c>
      <c r="N23" s="123">
        <f>'Plan B'!N74</f>
        <v>1070.8201690835926</v>
      </c>
      <c r="O23" s="131">
        <f>'Plan B'!O74</f>
        <v>894.3495808482985</v>
      </c>
    </row>
    <row r="24" spans="1:17" x14ac:dyDescent="0.25">
      <c r="C24" s="32">
        <f>'Plan B'!C75</f>
        <v>88</v>
      </c>
      <c r="D24" s="63">
        <f>'Plan B'!D75</f>
        <v>657</v>
      </c>
      <c r="E24" s="8">
        <f>'Plan B'!E75</f>
        <v>59.129999999999995</v>
      </c>
      <c r="F24" s="8">
        <f>'Plan B'!F75</f>
        <v>183.96</v>
      </c>
      <c r="G24" s="8">
        <f>'Plan B'!G75</f>
        <v>243.09</v>
      </c>
      <c r="H24" s="8">
        <f>'Plan B'!H75</f>
        <v>413.91</v>
      </c>
      <c r="I24" s="8">
        <f>'Plan B'!I75</f>
        <v>220</v>
      </c>
      <c r="J24" s="8"/>
      <c r="K24" s="8">
        <f>'Plan B'!K75</f>
        <v>403.96000000000004</v>
      </c>
      <c r="L24" s="8"/>
      <c r="M24" s="123">
        <f>'Plan B'!M75</f>
        <v>877</v>
      </c>
      <c r="N24" s="123">
        <f>'Plan B'!N75</f>
        <v>1334.9606107908787</v>
      </c>
      <c r="O24" s="131">
        <f>'Plan B'!O75</f>
        <v>1114.9606107908787</v>
      </c>
    </row>
    <row r="25" spans="1:17" x14ac:dyDescent="0.25">
      <c r="C25" s="32"/>
      <c r="D25" s="78">
        <f>'Plan B'!D76</f>
        <v>1</v>
      </c>
      <c r="E25" s="78">
        <f>'Plan B'!E76</f>
        <v>0.09</v>
      </c>
      <c r="F25" s="78">
        <f>'Plan B'!F76</f>
        <v>0.28000000000000003</v>
      </c>
      <c r="G25" s="78">
        <f>'Plan B'!G76</f>
        <v>0.37</v>
      </c>
      <c r="H25" s="78">
        <f>'Plan B'!H76</f>
        <v>0.63</v>
      </c>
      <c r="I25" s="8"/>
      <c r="J25" s="8"/>
      <c r="K25" s="8"/>
      <c r="L25" s="8"/>
      <c r="M25" s="23"/>
      <c r="N25" s="23"/>
      <c r="O25" s="97"/>
    </row>
    <row r="26" spans="1:17" x14ac:dyDescent="0.25">
      <c r="C26" s="34" t="str">
        <f>'Plan B'!C77</f>
        <v>Qtr Income</v>
      </c>
      <c r="D26" s="6">
        <f>'Plan B'!D77</f>
        <v>95958</v>
      </c>
      <c r="E26" s="6">
        <f>'Plan B'!E77</f>
        <v>8636.2200000000012</v>
      </c>
      <c r="F26" s="6">
        <f>'Plan B'!F77</f>
        <v>26868.240000000002</v>
      </c>
      <c r="G26" s="6">
        <f>'Plan B'!G77</f>
        <v>35504.46</v>
      </c>
      <c r="H26" s="6">
        <f>'Plan B'!H77</f>
        <v>60453.54</v>
      </c>
      <c r="I26" s="6">
        <f>'Plan B'!I77</f>
        <v>32109.411764705881</v>
      </c>
      <c r="J26" s="6"/>
      <c r="K26" s="6">
        <f>'Plan B'!K77</f>
        <v>58977.651764705879</v>
      </c>
      <c r="L26" s="6"/>
      <c r="M26" s="6">
        <f>'Plan B'!M77</f>
        <v>128067.41176470587</v>
      </c>
      <c r="N26" s="6">
        <f>'Plan B'!N77</f>
        <v>194888.68636532329</v>
      </c>
      <c r="O26" s="27">
        <f>'Plan B'!O77</f>
        <v>162779.27460061741</v>
      </c>
    </row>
    <row r="28" spans="1:17" x14ac:dyDescent="0.25">
      <c r="C28" s="49" t="s">
        <v>112</v>
      </c>
      <c r="D28" s="49"/>
      <c r="E28" s="49"/>
    </row>
    <row r="29" spans="1:17" x14ac:dyDescent="0.25">
      <c r="A29" s="49" t="s">
        <v>76</v>
      </c>
      <c r="C29" s="152" t="s">
        <v>75</v>
      </c>
      <c r="D29" s="94">
        <v>2017</v>
      </c>
      <c r="E29" s="98">
        <v>2018</v>
      </c>
      <c r="F29" s="98">
        <v>2019</v>
      </c>
      <c r="G29" s="98">
        <v>2020</v>
      </c>
      <c r="H29" s="99" t="s">
        <v>44</v>
      </c>
      <c r="K29" s="152" t="s">
        <v>109</v>
      </c>
      <c r="L29" s="84"/>
      <c r="M29" s="94">
        <v>2017</v>
      </c>
      <c r="N29" s="98">
        <v>2018</v>
      </c>
      <c r="O29" s="98">
        <v>2019</v>
      </c>
      <c r="P29" s="98">
        <v>2020</v>
      </c>
      <c r="Q29" s="99" t="s">
        <v>44</v>
      </c>
    </row>
    <row r="30" spans="1:17" x14ac:dyDescent="0.25">
      <c r="A30" s="49" t="s">
        <v>49</v>
      </c>
      <c r="C30" s="31" t="s">
        <v>25</v>
      </c>
      <c r="D30" s="95"/>
      <c r="E30" s="15"/>
      <c r="F30" s="8"/>
      <c r="G30" s="8"/>
      <c r="H30" s="16"/>
      <c r="K30" s="31" t="s">
        <v>25</v>
      </c>
      <c r="L30" s="15"/>
      <c r="M30" s="95"/>
      <c r="N30" s="15"/>
      <c r="O30" s="8"/>
      <c r="P30" s="8"/>
      <c r="Q30" s="16"/>
    </row>
    <row r="31" spans="1:17" x14ac:dyDescent="0.25">
      <c r="A31" s="49" t="s">
        <v>110</v>
      </c>
      <c r="C31" s="32">
        <v>40</v>
      </c>
      <c r="D31" s="23">
        <f>'Plan A Assess'!D69</f>
        <v>1868.6109991572932</v>
      </c>
      <c r="E31" s="23">
        <f>'Plan A Assess'!E69</f>
        <v>1868.6109991572932</v>
      </c>
      <c r="F31" s="23">
        <f>'Plan A Assess'!F69</f>
        <v>1868.6109991572932</v>
      </c>
      <c r="G31" s="23">
        <f>'Plan A Assess'!G69</f>
        <v>467.15274978932331</v>
      </c>
      <c r="H31" s="97">
        <f>'Plan A Assess'!H69</f>
        <v>6072.985747261203</v>
      </c>
      <c r="K31" s="32">
        <v>40</v>
      </c>
      <c r="L31" s="15"/>
      <c r="M31" s="154">
        <f>D31/4</f>
        <v>467.15274978932331</v>
      </c>
      <c r="N31" s="154">
        <f t="shared" ref="M31:N35" si="0">E31/4</f>
        <v>467.15274978932331</v>
      </c>
      <c r="O31" s="154">
        <f t="shared" ref="O31:O35" si="1">F31/4</f>
        <v>467.15274978932331</v>
      </c>
      <c r="P31" s="154">
        <f t="shared" ref="P31:P35" si="2">G31/4</f>
        <v>116.78818744733083</v>
      </c>
      <c r="Q31" s="97">
        <f>SUM(M31:P31)</f>
        <v>1518.2464368153007</v>
      </c>
    </row>
    <row r="32" spans="1:17" x14ac:dyDescent="0.25">
      <c r="A32" s="49" t="s">
        <v>83</v>
      </c>
      <c r="C32" s="32">
        <v>60</v>
      </c>
      <c r="D32" s="23">
        <f>'Plan A Assess'!D70</f>
        <v>3297.5488220422822</v>
      </c>
      <c r="E32" s="23">
        <f>'Plan A Assess'!E70</f>
        <v>3297.5488220422822</v>
      </c>
      <c r="F32" s="23">
        <f>'Plan A Assess'!F70</f>
        <v>3297.5488220422822</v>
      </c>
      <c r="G32" s="23">
        <f>'Plan A Assess'!G70</f>
        <v>824.38720551057054</v>
      </c>
      <c r="H32" s="97">
        <f>'Plan A Assess'!H70</f>
        <v>10717.033671637419</v>
      </c>
      <c r="K32" s="32">
        <v>60</v>
      </c>
      <c r="L32" s="15"/>
      <c r="M32" s="154">
        <f t="shared" ref="M32:M34" si="3">D32/4</f>
        <v>824.38720551057054</v>
      </c>
      <c r="N32" s="154">
        <f t="shared" si="0"/>
        <v>824.38720551057054</v>
      </c>
      <c r="O32" s="154">
        <f t="shared" si="1"/>
        <v>824.38720551057054</v>
      </c>
      <c r="P32" s="154">
        <f t="shared" si="2"/>
        <v>206.09680137764263</v>
      </c>
      <c r="Q32" s="97">
        <f>SUM(M32:P32)</f>
        <v>2679.2584179093546</v>
      </c>
    </row>
    <row r="33" spans="1:17" x14ac:dyDescent="0.25">
      <c r="C33" s="32">
        <v>88</v>
      </c>
      <c r="D33" s="23">
        <f>'Plan A Assess'!D71</f>
        <v>4110.944198146045</v>
      </c>
      <c r="E33" s="23">
        <f>'Plan A Assess'!E71</f>
        <v>4110.944198146045</v>
      </c>
      <c r="F33" s="23">
        <f>'Plan A Assess'!F71</f>
        <v>4110.944198146045</v>
      </c>
      <c r="G33" s="23">
        <f>'Plan A Assess'!G71</f>
        <v>1027.7360495365112</v>
      </c>
      <c r="H33" s="97">
        <f>'Plan A Assess'!H71</f>
        <v>13360.568643974648</v>
      </c>
      <c r="K33" s="32">
        <v>88</v>
      </c>
      <c r="L33" s="15"/>
      <c r="M33" s="154">
        <f t="shared" si="3"/>
        <v>1027.7360495365112</v>
      </c>
      <c r="N33" s="154">
        <f t="shared" si="0"/>
        <v>1027.7360495365112</v>
      </c>
      <c r="O33" s="154">
        <f t="shared" si="1"/>
        <v>1027.7360495365112</v>
      </c>
      <c r="P33" s="154">
        <f t="shared" si="2"/>
        <v>256.93401238412781</v>
      </c>
      <c r="Q33" s="97">
        <f>SUM(M33:P33)</f>
        <v>3340.1421609936619</v>
      </c>
    </row>
    <row r="34" spans="1:17" x14ac:dyDescent="0.25">
      <c r="C34" s="57"/>
      <c r="D34" s="23">
        <f>'Plan A Assess'!D72</f>
        <v>0</v>
      </c>
      <c r="E34" s="23">
        <f>'Plan A Assess'!E72</f>
        <v>0</v>
      </c>
      <c r="F34" s="23">
        <f>'Plan A Assess'!F72</f>
        <v>0</v>
      </c>
      <c r="G34" s="23">
        <f>'Plan A Assess'!G72</f>
        <v>0</v>
      </c>
      <c r="H34" s="97">
        <f>'Plan A Assess'!H72</f>
        <v>0</v>
      </c>
      <c r="K34" s="57"/>
      <c r="L34" s="15"/>
      <c r="M34" s="154">
        <f t="shared" si="3"/>
        <v>0</v>
      </c>
      <c r="N34" s="154">
        <f t="shared" si="0"/>
        <v>0</v>
      </c>
      <c r="O34" s="154">
        <f t="shared" si="1"/>
        <v>0</v>
      </c>
      <c r="P34" s="154">
        <f t="shared" si="2"/>
        <v>0</v>
      </c>
      <c r="Q34" s="97">
        <f>SUM(M34:P34)</f>
        <v>0</v>
      </c>
    </row>
    <row r="35" spans="1:17" x14ac:dyDescent="0.25">
      <c r="C35" s="61" t="s">
        <v>118</v>
      </c>
      <c r="D35" s="100">
        <f>'Plan A Assess'!D73</f>
        <v>600000.00000000012</v>
      </c>
      <c r="E35" s="100">
        <f>'Plan A Assess'!E73</f>
        <v>600000.00000000012</v>
      </c>
      <c r="F35" s="100">
        <f>'Plan A Assess'!F73</f>
        <v>600000.00000000012</v>
      </c>
      <c r="G35" s="100">
        <f>'Plan A Assess'!G73</f>
        <v>150000.00000000003</v>
      </c>
      <c r="H35" s="101">
        <f>'Plan A Assess'!H73</f>
        <v>1950000.0000000005</v>
      </c>
      <c r="K35" s="61" t="s">
        <v>118</v>
      </c>
      <c r="L35" s="21"/>
      <c r="M35" s="155">
        <f t="shared" si="0"/>
        <v>150000.00000000003</v>
      </c>
      <c r="N35" s="155">
        <f t="shared" si="0"/>
        <v>150000.00000000003</v>
      </c>
      <c r="O35" s="155">
        <f t="shared" si="1"/>
        <v>150000.00000000003</v>
      </c>
      <c r="P35" s="155">
        <f t="shared" si="2"/>
        <v>37500.000000000007</v>
      </c>
      <c r="Q35" s="101">
        <f>SUM(M35:P35)</f>
        <v>487500.00000000012</v>
      </c>
    </row>
    <row r="36" spans="1:17" x14ac:dyDescent="0.25">
      <c r="C36" s="83"/>
      <c r="D36" s="23"/>
      <c r="E36" s="23"/>
      <c r="F36" s="23"/>
      <c r="G36" s="23"/>
      <c r="H36" s="23"/>
      <c r="K36" s="83"/>
      <c r="L36" s="15"/>
      <c r="M36" s="154"/>
      <c r="N36" s="154"/>
      <c r="O36" s="154"/>
      <c r="P36" s="154"/>
      <c r="Q36" s="23"/>
    </row>
    <row r="37" spans="1:17" x14ac:dyDescent="0.25">
      <c r="C37" s="83"/>
      <c r="D37" s="23"/>
      <c r="E37" s="23"/>
      <c r="F37" s="23"/>
      <c r="G37" s="23"/>
      <c r="H37" s="23"/>
      <c r="K37" s="83"/>
      <c r="L37" s="15"/>
      <c r="M37" s="154"/>
      <c r="N37" s="154"/>
      <c r="O37" s="154"/>
      <c r="P37" s="154"/>
      <c r="Q37" s="23"/>
    </row>
    <row r="38" spans="1:17" x14ac:dyDescent="0.25">
      <c r="C38" s="83"/>
      <c r="D38" s="23"/>
      <c r="E38" s="23"/>
      <c r="F38" s="23"/>
      <c r="G38" s="23"/>
      <c r="H38" s="23"/>
      <c r="K38" s="83"/>
      <c r="L38" s="15"/>
      <c r="M38" s="23"/>
      <c r="N38" s="154"/>
      <c r="O38" s="154"/>
      <c r="P38" s="154"/>
      <c r="Q38" s="23"/>
    </row>
    <row r="39" spans="1:17" x14ac:dyDescent="0.25">
      <c r="C39" s="156" t="s">
        <v>113</v>
      </c>
      <c r="D39" s="23"/>
      <c r="E39" s="23"/>
      <c r="F39" s="23"/>
      <c r="G39" s="23"/>
      <c r="H39" s="23"/>
      <c r="K39" s="83"/>
      <c r="L39" s="15"/>
      <c r="M39" s="23"/>
      <c r="N39" s="154"/>
      <c r="O39" s="154"/>
      <c r="P39" s="154"/>
      <c r="Q39" s="23"/>
    </row>
    <row r="40" spans="1:17" x14ac:dyDescent="0.25">
      <c r="A40" s="49" t="s">
        <v>76</v>
      </c>
      <c r="C40" s="152" t="s">
        <v>109</v>
      </c>
      <c r="D40" s="55">
        <v>2016</v>
      </c>
      <c r="E40" s="94">
        <v>2017</v>
      </c>
      <c r="F40" s="98">
        <v>2018</v>
      </c>
      <c r="G40" s="98">
        <v>2019</v>
      </c>
      <c r="H40" s="98" t="s">
        <v>114</v>
      </c>
      <c r="I40" s="55" t="s">
        <v>66</v>
      </c>
      <c r="J40" s="84"/>
      <c r="K40" s="159" t="s">
        <v>82</v>
      </c>
      <c r="L40" s="15"/>
      <c r="M40" s="23"/>
      <c r="N40" s="154"/>
      <c r="O40" s="154"/>
      <c r="P40" s="154"/>
      <c r="Q40" s="23"/>
    </row>
    <row r="41" spans="1:17" x14ac:dyDescent="0.25">
      <c r="A41" s="49" t="s">
        <v>49</v>
      </c>
      <c r="C41" s="31" t="s">
        <v>25</v>
      </c>
      <c r="D41" s="15"/>
      <c r="E41" s="95"/>
      <c r="F41" s="15"/>
      <c r="G41" s="8"/>
      <c r="H41" s="8"/>
      <c r="I41" s="15"/>
      <c r="J41" s="15"/>
      <c r="K41" s="16"/>
      <c r="L41" s="15"/>
      <c r="M41" s="23"/>
      <c r="N41" s="154"/>
      <c r="O41" s="154"/>
      <c r="P41" s="154"/>
      <c r="Q41" s="23"/>
    </row>
    <row r="42" spans="1:17" x14ac:dyDescent="0.25">
      <c r="A42" s="49" t="s">
        <v>110</v>
      </c>
      <c r="C42" s="32">
        <v>40</v>
      </c>
      <c r="D42" s="20">
        <f>M22</f>
        <v>399</v>
      </c>
      <c r="E42" s="23">
        <f t="shared" ref="E42:H44" si="4">M31+$M22</f>
        <v>866.15274978932325</v>
      </c>
      <c r="F42" s="23">
        <f t="shared" si="4"/>
        <v>866.15274978932325</v>
      </c>
      <c r="G42" s="23">
        <f t="shared" si="4"/>
        <v>866.15274978932325</v>
      </c>
      <c r="H42" s="23">
        <f t="shared" si="4"/>
        <v>515.78818744733087</v>
      </c>
      <c r="I42" s="20">
        <f>M22</f>
        <v>399</v>
      </c>
      <c r="J42" s="15"/>
      <c r="K42" s="157">
        <f>M22</f>
        <v>399</v>
      </c>
      <c r="L42" s="15"/>
      <c r="M42" s="23"/>
      <c r="N42" s="154"/>
      <c r="O42" s="154"/>
      <c r="P42" s="154"/>
      <c r="Q42" s="23"/>
    </row>
    <row r="43" spans="1:17" x14ac:dyDescent="0.25">
      <c r="A43" s="49" t="s">
        <v>83</v>
      </c>
      <c r="C43" s="32">
        <v>60</v>
      </c>
      <c r="D43" s="20">
        <f t="shared" ref="D43:D44" si="5">M23</f>
        <v>703.47058823529414</v>
      </c>
      <c r="E43" s="23">
        <f t="shared" si="4"/>
        <v>1527.8577937458647</v>
      </c>
      <c r="F43" s="23">
        <f t="shared" si="4"/>
        <v>1527.8577937458647</v>
      </c>
      <c r="G43" s="23">
        <f t="shared" si="4"/>
        <v>1527.8577937458647</v>
      </c>
      <c r="H43" s="23">
        <f t="shared" si="4"/>
        <v>909.56738961293672</v>
      </c>
      <c r="I43" s="20">
        <f>M23</f>
        <v>703.47058823529414</v>
      </c>
      <c r="J43" s="15"/>
      <c r="K43" s="157">
        <f t="shared" ref="K43:K44" si="6">M23</f>
        <v>703.47058823529414</v>
      </c>
      <c r="L43" s="15"/>
      <c r="M43" s="23"/>
      <c r="N43" s="154"/>
      <c r="O43" s="154"/>
      <c r="P43" s="154"/>
      <c r="Q43" s="23"/>
    </row>
    <row r="44" spans="1:17" x14ac:dyDescent="0.25">
      <c r="A44" s="49" t="s">
        <v>119</v>
      </c>
      <c r="C44" s="32">
        <v>88</v>
      </c>
      <c r="D44" s="20">
        <f t="shared" si="5"/>
        <v>877</v>
      </c>
      <c r="E44" s="23">
        <f t="shared" si="4"/>
        <v>1904.7360495365112</v>
      </c>
      <c r="F44" s="23">
        <f t="shared" si="4"/>
        <v>1904.7360495365112</v>
      </c>
      <c r="G44" s="23">
        <f t="shared" si="4"/>
        <v>1904.7360495365112</v>
      </c>
      <c r="H44" s="23">
        <f t="shared" si="4"/>
        <v>1133.9340123841278</v>
      </c>
      <c r="I44" s="20">
        <f>M24</f>
        <v>877</v>
      </c>
      <c r="J44" s="15"/>
      <c r="K44" s="157">
        <f t="shared" si="6"/>
        <v>877</v>
      </c>
      <c r="L44" s="15"/>
      <c r="M44" s="23"/>
      <c r="N44" s="154"/>
      <c r="O44" s="154"/>
      <c r="P44" s="154"/>
      <c r="Q44" s="23"/>
    </row>
    <row r="45" spans="1:17" x14ac:dyDescent="0.25">
      <c r="A45" s="49" t="s">
        <v>120</v>
      </c>
      <c r="C45" s="57"/>
      <c r="D45" s="15"/>
      <c r="E45" s="154"/>
      <c r="F45" s="154"/>
      <c r="G45" s="154"/>
      <c r="H45" s="154"/>
      <c r="I45" s="15"/>
      <c r="J45" s="15"/>
      <c r="K45" s="85"/>
      <c r="L45" s="15"/>
      <c r="M45" s="23"/>
      <c r="N45" s="154"/>
      <c r="O45" s="154"/>
      <c r="P45" s="154"/>
      <c r="Q45" s="23"/>
    </row>
    <row r="46" spans="1:17" x14ac:dyDescent="0.25">
      <c r="C46" s="61" t="s">
        <v>118</v>
      </c>
      <c r="D46" s="11">
        <f>M17</f>
        <v>128067.41176470587</v>
      </c>
      <c r="E46" s="100">
        <f>M17+$M35</f>
        <v>278067.4117647059</v>
      </c>
      <c r="F46" s="100">
        <f>M17+N35</f>
        <v>278067.4117647059</v>
      </c>
      <c r="G46" s="100">
        <f>M17+O35</f>
        <v>278067.4117647059</v>
      </c>
      <c r="H46" s="100">
        <f>M17+P35</f>
        <v>165567.41176470587</v>
      </c>
      <c r="I46" s="11">
        <f>M17</f>
        <v>128067.41176470587</v>
      </c>
      <c r="J46" s="21"/>
      <c r="K46" s="158">
        <f>M17</f>
        <v>128067.41176470587</v>
      </c>
      <c r="L46" s="15"/>
      <c r="M46" s="23"/>
      <c r="N46" s="154"/>
      <c r="O46" s="154"/>
      <c r="P46" s="154"/>
      <c r="Q46" s="23"/>
    </row>
    <row r="47" spans="1:17" x14ac:dyDescent="0.25">
      <c r="C47" s="83"/>
      <c r="D47" s="20"/>
      <c r="E47" s="23"/>
      <c r="F47" s="23"/>
      <c r="G47" s="23"/>
      <c r="H47" s="23"/>
      <c r="I47" s="20"/>
      <c r="K47" s="23"/>
      <c r="L47" s="15"/>
      <c r="M47" s="23"/>
      <c r="N47" s="154"/>
      <c r="O47" s="154"/>
      <c r="P47" s="154"/>
      <c r="Q47" s="23"/>
    </row>
    <row r="48" spans="1:17" x14ac:dyDescent="0.25">
      <c r="C48" s="156" t="s">
        <v>113</v>
      </c>
      <c r="D48" s="23"/>
      <c r="E48" s="23"/>
      <c r="F48" s="23"/>
      <c r="G48" s="23"/>
      <c r="H48" s="23"/>
      <c r="K48" s="23"/>
      <c r="L48" s="15"/>
      <c r="M48" s="23"/>
      <c r="N48" s="154"/>
      <c r="O48" s="154"/>
      <c r="P48" s="154"/>
      <c r="Q48" s="23"/>
    </row>
    <row r="49" spans="1:17" x14ac:dyDescent="0.25">
      <c r="A49" s="49" t="s">
        <v>116</v>
      </c>
      <c r="C49" s="152" t="s">
        <v>109</v>
      </c>
      <c r="D49" s="55">
        <v>2016</v>
      </c>
      <c r="E49" s="94">
        <v>2017</v>
      </c>
      <c r="F49" s="98">
        <v>2018</v>
      </c>
      <c r="G49" s="98">
        <v>2019</v>
      </c>
      <c r="H49" s="98">
        <v>2020</v>
      </c>
      <c r="I49" s="55" t="s">
        <v>111</v>
      </c>
      <c r="J49" s="84"/>
      <c r="K49" s="159" t="s">
        <v>82</v>
      </c>
      <c r="L49" s="15"/>
      <c r="M49" s="23"/>
      <c r="N49" s="154"/>
      <c r="O49" s="154"/>
      <c r="P49" s="154"/>
      <c r="Q49" s="23"/>
    </row>
    <row r="50" spans="1:17" x14ac:dyDescent="0.25">
      <c r="A50" s="49" t="s">
        <v>117</v>
      </c>
      <c r="C50" s="31" t="s">
        <v>25</v>
      </c>
      <c r="D50" s="15"/>
      <c r="E50" s="95"/>
      <c r="F50" s="15"/>
      <c r="G50" s="8"/>
      <c r="H50" s="8"/>
      <c r="I50" s="15"/>
      <c r="J50" s="15"/>
      <c r="K50" s="97"/>
      <c r="L50" s="15"/>
      <c r="M50" s="23"/>
      <c r="N50" s="154"/>
      <c r="O50" s="154"/>
      <c r="P50" s="154"/>
      <c r="Q50" s="23"/>
    </row>
    <row r="51" spans="1:17" x14ac:dyDescent="0.25">
      <c r="A51" s="49" t="s">
        <v>34</v>
      </c>
      <c r="C51" s="32">
        <v>40</v>
      </c>
      <c r="D51" s="20">
        <f>$M13</f>
        <v>399</v>
      </c>
      <c r="E51" s="20">
        <f t="shared" ref="E51:G51" si="7">$M13</f>
        <v>399</v>
      </c>
      <c r="F51" s="20">
        <f t="shared" si="7"/>
        <v>399</v>
      </c>
      <c r="G51" s="20">
        <f t="shared" si="7"/>
        <v>399</v>
      </c>
      <c r="H51" s="23">
        <f>$N13</f>
        <v>597.15233639368466</v>
      </c>
      <c r="I51" s="23">
        <f t="shared" ref="I51:I53" si="8">$N13</f>
        <v>597.15233639368466</v>
      </c>
      <c r="J51" s="15"/>
      <c r="K51" s="97">
        <f>O13</f>
        <v>497.15233639368478</v>
      </c>
      <c r="L51" s="15"/>
      <c r="M51" s="23"/>
      <c r="N51" s="154"/>
      <c r="O51" s="154"/>
      <c r="P51" s="154"/>
      <c r="Q51" s="23"/>
    </row>
    <row r="52" spans="1:17" x14ac:dyDescent="0.25">
      <c r="C52" s="32">
        <v>60</v>
      </c>
      <c r="D52" s="20">
        <f t="shared" ref="D52:G53" si="9">$M14</f>
        <v>703.47058823529414</v>
      </c>
      <c r="E52" s="20">
        <f t="shared" si="9"/>
        <v>703.47058823529414</v>
      </c>
      <c r="F52" s="20">
        <f t="shared" si="9"/>
        <v>703.47058823529414</v>
      </c>
      <c r="G52" s="20">
        <f t="shared" si="9"/>
        <v>703.47058823529414</v>
      </c>
      <c r="H52" s="23">
        <f t="shared" ref="H52:H53" si="10">$N14</f>
        <v>1053.3323583417964</v>
      </c>
      <c r="I52" s="23">
        <f t="shared" si="8"/>
        <v>1053.3323583417964</v>
      </c>
      <c r="J52" s="15"/>
      <c r="K52" s="97">
        <f t="shared" ref="K52:K53" si="11">O14</f>
        <v>876.86177010650249</v>
      </c>
      <c r="L52" s="15"/>
      <c r="M52" s="23"/>
      <c r="N52" s="154"/>
      <c r="O52" s="154"/>
      <c r="P52" s="154"/>
      <c r="Q52" s="23"/>
    </row>
    <row r="53" spans="1:17" x14ac:dyDescent="0.25">
      <c r="C53" s="32">
        <v>88</v>
      </c>
      <c r="D53" s="20">
        <f t="shared" si="9"/>
        <v>877</v>
      </c>
      <c r="E53" s="20">
        <f t="shared" si="9"/>
        <v>877</v>
      </c>
      <c r="F53" s="20">
        <f t="shared" si="9"/>
        <v>877</v>
      </c>
      <c r="G53" s="20">
        <f t="shared" si="9"/>
        <v>877</v>
      </c>
      <c r="H53" s="23">
        <f t="shared" si="10"/>
        <v>1313.1591400661064</v>
      </c>
      <c r="I53" s="23">
        <f t="shared" si="8"/>
        <v>1313.1591400661064</v>
      </c>
      <c r="J53" s="15"/>
      <c r="K53" s="97">
        <f t="shared" si="11"/>
        <v>1093.1591400661064</v>
      </c>
      <c r="L53" s="15"/>
      <c r="M53" s="23"/>
      <c r="N53" s="154"/>
      <c r="O53" s="154"/>
      <c r="P53" s="154"/>
      <c r="Q53" s="23"/>
    </row>
    <row r="54" spans="1:17" x14ac:dyDescent="0.25">
      <c r="C54" s="57"/>
      <c r="D54" s="15"/>
      <c r="E54" s="154"/>
      <c r="F54" s="154"/>
      <c r="G54" s="154"/>
      <c r="H54" s="154"/>
      <c r="I54" s="15"/>
      <c r="J54" s="15"/>
      <c r="K54" s="97"/>
      <c r="L54" s="15"/>
      <c r="M54" s="23"/>
      <c r="N54" s="154"/>
      <c r="O54" s="154"/>
      <c r="P54" s="154"/>
      <c r="Q54" s="23"/>
    </row>
    <row r="55" spans="1:17" x14ac:dyDescent="0.25">
      <c r="C55" s="61" t="s">
        <v>118</v>
      </c>
      <c r="D55" s="11">
        <f>M17</f>
        <v>128067.41176470587</v>
      </c>
      <c r="E55" s="11">
        <f>M17</f>
        <v>128067.41176470587</v>
      </c>
      <c r="F55" s="11">
        <f>M17</f>
        <v>128067.41176470587</v>
      </c>
      <c r="G55" s="11">
        <f>M17</f>
        <v>128067.41176470587</v>
      </c>
      <c r="H55" s="100">
        <f>N17</f>
        <v>191706.72090815101</v>
      </c>
      <c r="I55" s="11">
        <f>N17</f>
        <v>191706.72090815101</v>
      </c>
      <c r="J55" s="21"/>
      <c r="K55" s="101">
        <f>O17</f>
        <v>159597.30914344513</v>
      </c>
      <c r="L55" s="15"/>
      <c r="M55" s="23"/>
      <c r="N55" s="154"/>
      <c r="O55" s="154"/>
      <c r="P55" s="154"/>
      <c r="Q55" s="23"/>
    </row>
    <row r="56" spans="1:17" x14ac:dyDescent="0.25">
      <c r="C56" s="83"/>
      <c r="D56" s="20"/>
      <c r="E56" s="23"/>
      <c r="F56" s="23"/>
      <c r="G56" s="23"/>
      <c r="H56" s="23"/>
      <c r="I56" s="20"/>
      <c r="K56" s="23"/>
      <c r="L56" s="15"/>
      <c r="M56" s="23"/>
      <c r="N56" s="154"/>
      <c r="O56" s="154"/>
      <c r="P56" s="154"/>
      <c r="Q56" s="23"/>
    </row>
    <row r="57" spans="1:17" x14ac:dyDescent="0.25">
      <c r="C57" s="83"/>
      <c r="D57" s="20"/>
      <c r="E57" s="23"/>
      <c r="F57" s="23"/>
      <c r="G57" s="23"/>
      <c r="H57" s="23"/>
      <c r="I57" s="20"/>
      <c r="K57" s="23"/>
      <c r="L57" s="15"/>
      <c r="M57" s="23"/>
      <c r="N57" s="154"/>
      <c r="O57" s="154"/>
      <c r="P57" s="154"/>
      <c r="Q57" s="23"/>
    </row>
    <row r="58" spans="1:17" x14ac:dyDescent="0.25">
      <c r="A58" t="s">
        <v>84</v>
      </c>
    </row>
    <row r="60" spans="1:17" x14ac:dyDescent="0.25">
      <c r="A60" s="49" t="s">
        <v>85</v>
      </c>
    </row>
    <row r="62" spans="1:17" x14ac:dyDescent="0.25">
      <c r="A62" s="49" t="s">
        <v>97</v>
      </c>
      <c r="C62" s="28" t="s">
        <v>25</v>
      </c>
      <c r="D62" s="135" t="s">
        <v>81</v>
      </c>
      <c r="E62" s="135" t="s">
        <v>81</v>
      </c>
      <c r="F62" s="135" t="s">
        <v>81</v>
      </c>
      <c r="G62" s="141" t="s">
        <v>86</v>
      </c>
      <c r="H62" s="142"/>
      <c r="I62" s="135" t="s">
        <v>89</v>
      </c>
      <c r="J62" s="142"/>
      <c r="K62" s="55" t="s">
        <v>75</v>
      </c>
      <c r="L62" s="142"/>
      <c r="M62" s="55" t="s">
        <v>92</v>
      </c>
      <c r="N62" s="55" t="s">
        <v>95</v>
      </c>
      <c r="O62" s="143" t="s">
        <v>94</v>
      </c>
    </row>
    <row r="63" spans="1:17" x14ac:dyDescent="0.25">
      <c r="A63" s="49" t="s">
        <v>98</v>
      </c>
      <c r="C63" s="144"/>
      <c r="D63" s="83" t="str">
        <f>M12</f>
        <v>Dues</v>
      </c>
      <c r="E63" s="83" t="s">
        <v>87</v>
      </c>
      <c r="F63" s="83" t="s">
        <v>44</v>
      </c>
      <c r="G63" s="83" t="s">
        <v>88</v>
      </c>
      <c r="H63" s="83" t="s">
        <v>44</v>
      </c>
      <c r="I63" s="83" t="s">
        <v>90</v>
      </c>
      <c r="J63" s="145"/>
      <c r="K63" s="83" t="s">
        <v>91</v>
      </c>
      <c r="L63" s="145"/>
      <c r="M63" s="83" t="s">
        <v>93</v>
      </c>
      <c r="N63" s="83" t="s">
        <v>96</v>
      </c>
      <c r="O63" s="146"/>
    </row>
    <row r="64" spans="1:17" x14ac:dyDescent="0.25">
      <c r="A64" s="49"/>
      <c r="C64" s="32">
        <v>40</v>
      </c>
      <c r="D64" s="20">
        <f>M13*4*4</f>
        <v>6384</v>
      </c>
      <c r="E64" s="20">
        <v>2000</v>
      </c>
      <c r="F64" s="20">
        <f>SUM(D64:E64)</f>
        <v>8384</v>
      </c>
      <c r="G64" s="139">
        <v>15</v>
      </c>
      <c r="H64" s="20">
        <f>G64*F64</f>
        <v>125760</v>
      </c>
      <c r="I64" s="147">
        <f>H67*H5</f>
        <v>604.30146924119742</v>
      </c>
      <c r="J64" s="15"/>
      <c r="K64" s="148">
        <f>I64/4</f>
        <v>151.07536731029936</v>
      </c>
      <c r="L64" s="15"/>
      <c r="M64" s="140">
        <v>10000</v>
      </c>
      <c r="N64" s="147">
        <f>M67*H5</f>
        <v>700.72912468398499</v>
      </c>
      <c r="O64" s="149">
        <f>(M67-H67)/M67</f>
        <v>0.13761045751633988</v>
      </c>
      <c r="P64" s="9"/>
    </row>
    <row r="65" spans="1:15" x14ac:dyDescent="0.25">
      <c r="A65" s="49"/>
      <c r="C65" s="32">
        <v>60</v>
      </c>
      <c r="D65" s="20">
        <f>M14*4*4</f>
        <v>11255.529411764706</v>
      </c>
      <c r="E65" s="20">
        <v>2400</v>
      </c>
      <c r="F65" s="20">
        <f t="shared" ref="F65:F66" si="12">SUM(D65:E65)</f>
        <v>13655.529411764706</v>
      </c>
      <c r="G65" s="139">
        <v>5</v>
      </c>
      <c r="H65" s="20">
        <f t="shared" ref="H65:H66" si="13">G65*F65</f>
        <v>68277.647058823524</v>
      </c>
      <c r="I65" s="147">
        <f>H67*H6</f>
        <v>1066.4143574844659</v>
      </c>
      <c r="J65" s="15"/>
      <c r="K65" s="148">
        <f>I65/4</f>
        <v>266.60358937111647</v>
      </c>
      <c r="L65" s="15"/>
      <c r="M65" s="140">
        <v>15000</v>
      </c>
      <c r="N65" s="147">
        <f>M67*H6</f>
        <v>1236.5808082658557</v>
      </c>
      <c r="O65" s="85"/>
    </row>
    <row r="66" spans="1:15" x14ac:dyDescent="0.25">
      <c r="A66" s="49"/>
      <c r="C66" s="32">
        <v>88</v>
      </c>
      <c r="D66" s="20">
        <f>M15*4*4</f>
        <v>14032</v>
      </c>
      <c r="E66" s="20">
        <v>3200</v>
      </c>
      <c r="F66" s="20">
        <f t="shared" si="12"/>
        <v>17232</v>
      </c>
      <c r="G66" s="137">
        <v>0</v>
      </c>
      <c r="H66" s="11">
        <f t="shared" si="13"/>
        <v>0</v>
      </c>
      <c r="I66" s="147">
        <f>H67*H7</f>
        <v>1329.4632323306341</v>
      </c>
      <c r="J66" s="15"/>
      <c r="K66" s="148">
        <f>I66/4</f>
        <v>332.36580808265853</v>
      </c>
      <c r="L66" s="15"/>
      <c r="M66" s="138">
        <v>25000</v>
      </c>
      <c r="N66" s="147">
        <f>M67*H7</f>
        <v>1541.6040743047668</v>
      </c>
      <c r="O66" s="85"/>
    </row>
    <row r="67" spans="1:15" x14ac:dyDescent="0.25">
      <c r="A67" s="49"/>
      <c r="C67" s="144" t="s">
        <v>44</v>
      </c>
      <c r="D67" s="15"/>
      <c r="E67" s="15"/>
      <c r="F67" s="15"/>
      <c r="G67" s="20">
        <f>SUM(G64:G66)</f>
        <v>20</v>
      </c>
      <c r="H67" s="20">
        <f>SUM(H64:H66)</f>
        <v>194037.64705882352</v>
      </c>
      <c r="I67" s="15"/>
      <c r="J67" s="15"/>
      <c r="K67" s="15"/>
      <c r="L67" s="15"/>
      <c r="M67" s="20">
        <f>(M64*G64)+(M65*G65)</f>
        <v>225000</v>
      </c>
      <c r="N67" s="15"/>
      <c r="O67" s="85"/>
    </row>
    <row r="68" spans="1:15" x14ac:dyDescent="0.25">
      <c r="A68" s="49"/>
      <c r="C68" s="144"/>
      <c r="D68" s="15"/>
      <c r="E68" s="15"/>
      <c r="F68" s="15"/>
      <c r="G68" s="20"/>
      <c r="H68" s="20"/>
      <c r="I68" s="15"/>
      <c r="J68" s="15"/>
      <c r="K68" s="15"/>
      <c r="L68" s="15"/>
      <c r="M68" s="20"/>
      <c r="N68" s="15"/>
      <c r="O68" s="85"/>
    </row>
    <row r="69" spans="1:15" x14ac:dyDescent="0.25">
      <c r="A69" s="49" t="s">
        <v>97</v>
      </c>
      <c r="C69" s="31" t="s">
        <v>25</v>
      </c>
      <c r="D69" s="95" t="s">
        <v>81</v>
      </c>
      <c r="E69" s="95" t="s">
        <v>81</v>
      </c>
      <c r="F69" s="95" t="s">
        <v>81</v>
      </c>
      <c r="G69" s="136" t="s">
        <v>86</v>
      </c>
      <c r="H69" s="145"/>
      <c r="I69" s="95" t="s">
        <v>89</v>
      </c>
      <c r="J69" s="145"/>
      <c r="K69" s="83" t="s">
        <v>100</v>
      </c>
      <c r="L69" s="145"/>
      <c r="M69" s="83" t="s">
        <v>92</v>
      </c>
      <c r="N69" s="83" t="s">
        <v>95</v>
      </c>
      <c r="O69" s="150" t="s">
        <v>94</v>
      </c>
    </row>
    <row r="70" spans="1:15" x14ac:dyDescent="0.25">
      <c r="A70" s="49" t="s">
        <v>99</v>
      </c>
      <c r="C70" s="144"/>
      <c r="D70" s="83" t="s">
        <v>67</v>
      </c>
      <c r="E70" s="83" t="s">
        <v>87</v>
      </c>
      <c r="F70" s="83" t="s">
        <v>44</v>
      </c>
      <c r="G70" s="83" t="s">
        <v>88</v>
      </c>
      <c r="H70" s="83" t="s">
        <v>44</v>
      </c>
      <c r="I70" s="83" t="s">
        <v>90</v>
      </c>
      <c r="J70" s="145"/>
      <c r="K70" s="83" t="s">
        <v>91</v>
      </c>
      <c r="L70" s="145"/>
      <c r="M70" s="83" t="s">
        <v>93</v>
      </c>
      <c r="N70" s="83" t="s">
        <v>96</v>
      </c>
      <c r="O70" s="146"/>
    </row>
    <row r="71" spans="1:15" x14ac:dyDescent="0.25">
      <c r="C71" s="32">
        <v>40</v>
      </c>
      <c r="D71" s="20">
        <f>D64+(N13*16)</f>
        <v>15938.437382298955</v>
      </c>
      <c r="E71" s="20">
        <f>E64*2</f>
        <v>4000</v>
      </c>
      <c r="F71" s="20">
        <f t="shared" ref="F71:F73" si="14">SUM(D71:E71)</f>
        <v>19938.437382298955</v>
      </c>
      <c r="G71" s="139">
        <v>15</v>
      </c>
      <c r="H71" s="20">
        <f>G71*F71</f>
        <v>299076.56073448434</v>
      </c>
      <c r="I71" s="147">
        <f>H74*H5</f>
        <v>1443.8781995073969</v>
      </c>
      <c r="J71" s="15"/>
      <c r="K71" s="148">
        <f>I71/8</f>
        <v>180.48477493842461</v>
      </c>
      <c r="L71" s="15"/>
      <c r="M71" s="140">
        <v>25000</v>
      </c>
      <c r="N71" s="147">
        <f>M74*H5</f>
        <v>1666.1781409152532</v>
      </c>
      <c r="O71" s="149">
        <f>(M74-H74)/M74</f>
        <v>0.13341907203616532</v>
      </c>
    </row>
    <row r="72" spans="1:15" x14ac:dyDescent="0.25">
      <c r="C72" s="32">
        <v>60</v>
      </c>
      <c r="D72" s="20">
        <f>D65+(N14*16)</f>
        <v>28108.847145233449</v>
      </c>
      <c r="E72" s="20">
        <f>E65*2</f>
        <v>4800</v>
      </c>
      <c r="F72" s="20">
        <f t="shared" si="14"/>
        <v>32908.847145233449</v>
      </c>
      <c r="G72" s="139">
        <v>5</v>
      </c>
      <c r="H72" s="20">
        <f t="shared" ref="H72:H73" si="15">G72*F72</f>
        <v>164544.23572616724</v>
      </c>
      <c r="I72" s="147">
        <f>H74*H6</f>
        <v>2548.0203520718769</v>
      </c>
      <c r="J72" s="15"/>
      <c r="K72" s="148">
        <f t="shared" ref="K72:K73" si="16">I72/8</f>
        <v>318.50254400898461</v>
      </c>
      <c r="L72" s="15"/>
      <c r="M72" s="140">
        <v>32000</v>
      </c>
      <c r="N72" s="147">
        <f>M74*H6</f>
        <v>2940.3143663210349</v>
      </c>
      <c r="O72" s="85"/>
    </row>
    <row r="73" spans="1:15" x14ac:dyDescent="0.25">
      <c r="C73" s="32">
        <v>88</v>
      </c>
      <c r="D73" s="20">
        <f>D66+(N15*16)</f>
        <v>35042.546241057702</v>
      </c>
      <c r="E73" s="20">
        <f>E66*2</f>
        <v>6400</v>
      </c>
      <c r="F73" s="20">
        <f t="shared" si="14"/>
        <v>41442.546241057702</v>
      </c>
      <c r="G73" s="137">
        <v>0</v>
      </c>
      <c r="H73" s="11">
        <f t="shared" si="15"/>
        <v>0</v>
      </c>
      <c r="I73" s="147">
        <f>H74*H7</f>
        <v>3176.532038916273</v>
      </c>
      <c r="J73" s="15"/>
      <c r="K73" s="148">
        <f t="shared" si="16"/>
        <v>397.06650486453412</v>
      </c>
      <c r="L73" s="15"/>
      <c r="M73" s="138">
        <v>42000</v>
      </c>
      <c r="N73" s="147">
        <f>M74*H7</f>
        <v>3665.5919100135566</v>
      </c>
      <c r="O73" s="85"/>
    </row>
    <row r="74" spans="1:15" x14ac:dyDescent="0.25">
      <c r="C74" s="108" t="s">
        <v>44</v>
      </c>
      <c r="D74" s="21"/>
      <c r="E74" s="21"/>
      <c r="F74" s="21"/>
      <c r="G74" s="21">
        <f>SUM(G71:G73)</f>
        <v>20</v>
      </c>
      <c r="H74" s="11">
        <f>SUM(H71:H73)</f>
        <v>463620.79646065156</v>
      </c>
      <c r="I74" s="21"/>
      <c r="J74" s="21"/>
      <c r="K74" s="21"/>
      <c r="L74" s="21"/>
      <c r="M74" s="11">
        <f>(M71*G71)+(M72*G72)</f>
        <v>535000</v>
      </c>
      <c r="N74" s="21"/>
      <c r="O74" s="103"/>
    </row>
  </sheetData>
  <pageMargins left="0.7" right="0.7" top="0.75" bottom="0.75" header="0.3" footer="0.3"/>
  <pageSetup scale="64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7"/>
  <sheetViews>
    <sheetView topLeftCell="A40" workbookViewId="0">
      <selection activeCell="D2" sqref="D2"/>
    </sheetView>
  </sheetViews>
  <sheetFormatPr defaultRowHeight="15" x14ac:dyDescent="0.25"/>
  <cols>
    <col min="1" max="1" width="5" customWidth="1"/>
    <col min="2" max="2" width="4.5703125" style="2" customWidth="1"/>
    <col min="3" max="3" width="10.140625" style="2" customWidth="1"/>
    <col min="4" max="5" width="10.5703125" style="3" customWidth="1"/>
    <col min="6" max="6" width="10.28515625" customWidth="1"/>
    <col min="7" max="7" width="10.85546875" customWidth="1"/>
    <col min="8" max="8" width="11" style="3" customWidth="1"/>
    <col min="9" max="9" width="11.42578125" customWidth="1"/>
    <col min="10" max="10" width="1.5703125" customWidth="1"/>
    <col min="11" max="11" width="10.5703125" style="3" customWidth="1"/>
    <col min="12" max="12" width="1.5703125" customWidth="1"/>
    <col min="13" max="13" width="11" style="3" customWidth="1"/>
    <col min="14" max="14" width="10.5703125" style="3" customWidth="1"/>
    <col min="15" max="15" width="11.85546875" customWidth="1"/>
    <col min="16" max="16" width="10.7109375" customWidth="1"/>
    <col min="17" max="17" width="1.42578125" customWidth="1"/>
    <col min="18" max="18" width="8.42578125" customWidth="1"/>
    <col min="19" max="19" width="8.85546875" customWidth="1"/>
    <col min="20" max="20" width="9.5703125" customWidth="1"/>
    <col min="21" max="21" width="1.140625" customWidth="1"/>
    <col min="22" max="22" width="8" customWidth="1"/>
    <col min="23" max="23" width="8.42578125" customWidth="1"/>
    <col min="25" max="25" width="1" customWidth="1"/>
    <col min="26" max="26" width="8.5703125" customWidth="1"/>
    <col min="27" max="28" width="8.7109375" customWidth="1"/>
  </cols>
  <sheetData>
    <row r="1" spans="1:28" x14ac:dyDescent="0.25">
      <c r="C1" s="4" t="s">
        <v>22</v>
      </c>
    </row>
    <row r="2" spans="1:28" x14ac:dyDescent="0.25">
      <c r="A2" s="49" t="s">
        <v>105</v>
      </c>
      <c r="D2" s="7">
        <v>42490</v>
      </c>
    </row>
    <row r="3" spans="1:28" x14ac:dyDescent="0.25">
      <c r="R3" s="4" t="s">
        <v>51</v>
      </c>
      <c r="S3" s="4" t="s">
        <v>51</v>
      </c>
      <c r="T3" s="4" t="s">
        <v>51</v>
      </c>
      <c r="V3" s="4" t="s">
        <v>53</v>
      </c>
      <c r="W3" s="4" t="s">
        <v>53</v>
      </c>
      <c r="X3" s="4" t="s">
        <v>53</v>
      </c>
      <c r="Z3" s="4" t="s">
        <v>54</v>
      </c>
      <c r="AA3" s="4" t="s">
        <v>54</v>
      </c>
      <c r="AB3" s="4" t="s">
        <v>54</v>
      </c>
    </row>
    <row r="4" spans="1:28" s="4" customFormat="1" x14ac:dyDescent="0.25">
      <c r="D4" s="5"/>
      <c r="E4" s="5"/>
      <c r="F4" s="4" t="s">
        <v>40</v>
      </c>
      <c r="G4" s="4" t="s">
        <v>44</v>
      </c>
      <c r="H4" s="5"/>
      <c r="I4" s="4" t="s">
        <v>16</v>
      </c>
      <c r="K4" s="5" t="s">
        <v>2</v>
      </c>
      <c r="M4" s="5" t="s">
        <v>49</v>
      </c>
      <c r="N4" s="5" t="s">
        <v>4</v>
      </c>
      <c r="P4" s="4" t="s">
        <v>4</v>
      </c>
      <c r="S4" s="4" t="s">
        <v>61</v>
      </c>
      <c r="T4" s="4" t="s">
        <v>50</v>
      </c>
      <c r="W4" s="4" t="s">
        <v>61</v>
      </c>
      <c r="X4" s="4" t="s">
        <v>50</v>
      </c>
      <c r="AA4" s="4" t="s">
        <v>61</v>
      </c>
      <c r="AB4" s="4" t="s">
        <v>50</v>
      </c>
    </row>
    <row r="5" spans="1:28" s="4" customFormat="1" x14ac:dyDescent="0.25">
      <c r="C5" s="4" t="s">
        <v>4</v>
      </c>
      <c r="D5" s="5" t="s">
        <v>18</v>
      </c>
      <c r="E5" s="5" t="s">
        <v>19</v>
      </c>
      <c r="F5" s="4" t="s">
        <v>60</v>
      </c>
      <c r="G5" s="4" t="s">
        <v>4</v>
      </c>
      <c r="H5" s="5" t="s">
        <v>16</v>
      </c>
      <c r="I5" s="5" t="s">
        <v>24</v>
      </c>
      <c r="J5" s="5"/>
      <c r="K5" s="5" t="s">
        <v>3</v>
      </c>
      <c r="M5" s="5" t="s">
        <v>3</v>
      </c>
      <c r="N5" s="5" t="s">
        <v>5</v>
      </c>
      <c r="O5" s="4" t="s">
        <v>34</v>
      </c>
      <c r="P5" s="4" t="s">
        <v>48</v>
      </c>
      <c r="S5" s="4" t="s">
        <v>65</v>
      </c>
      <c r="T5" s="4" t="s">
        <v>48</v>
      </c>
      <c r="W5" s="4" t="s">
        <v>65</v>
      </c>
      <c r="X5" s="4" t="s">
        <v>48</v>
      </c>
      <c r="AA5" s="4" t="s">
        <v>65</v>
      </c>
      <c r="AB5" s="4" t="s">
        <v>48</v>
      </c>
    </row>
    <row r="6" spans="1:28" s="4" customFormat="1" x14ac:dyDescent="0.25">
      <c r="A6" s="4" t="s">
        <v>1</v>
      </c>
      <c r="B6" s="4" t="s">
        <v>0</v>
      </c>
      <c r="C6" s="4" t="s">
        <v>7</v>
      </c>
      <c r="D6" s="4" t="s">
        <v>59</v>
      </c>
      <c r="E6" s="4" t="s">
        <v>59</v>
      </c>
      <c r="F6" s="5" t="s">
        <v>41</v>
      </c>
      <c r="G6" s="4" t="s">
        <v>45</v>
      </c>
      <c r="H6" s="5" t="s">
        <v>17</v>
      </c>
      <c r="I6" s="4" t="s">
        <v>32</v>
      </c>
      <c r="K6" s="5" t="s">
        <v>6</v>
      </c>
      <c r="M6" s="5" t="s">
        <v>20</v>
      </c>
      <c r="N6" s="4" t="s">
        <v>20</v>
      </c>
      <c r="O6" s="4" t="s">
        <v>46</v>
      </c>
      <c r="P6" s="4" t="s">
        <v>44</v>
      </c>
      <c r="R6" s="4" t="s">
        <v>4</v>
      </c>
      <c r="S6" s="4" t="s">
        <v>52</v>
      </c>
      <c r="T6" s="4" t="s">
        <v>44</v>
      </c>
      <c r="V6" s="4" t="s">
        <v>4</v>
      </c>
      <c r="W6" s="4" t="s">
        <v>52</v>
      </c>
      <c r="X6" s="4" t="s">
        <v>44</v>
      </c>
      <c r="Z6" s="4" t="s">
        <v>4</v>
      </c>
      <c r="AA6" s="4" t="s">
        <v>52</v>
      </c>
      <c r="AB6" s="4" t="s">
        <v>44</v>
      </c>
    </row>
    <row r="7" spans="1:28" x14ac:dyDescent="0.25">
      <c r="F7" s="3"/>
      <c r="I7" s="22"/>
      <c r="J7" s="22"/>
    </row>
    <row r="8" spans="1:28" x14ac:dyDescent="0.25">
      <c r="F8" s="3"/>
      <c r="I8" s="3"/>
      <c r="J8" s="3"/>
      <c r="K8" s="3">
        <v>471380</v>
      </c>
      <c r="S8" s="9"/>
    </row>
    <row r="9" spans="1:28" x14ac:dyDescent="0.25">
      <c r="A9">
        <v>2015</v>
      </c>
      <c r="B9" s="2">
        <v>4</v>
      </c>
      <c r="D9" s="3">
        <v>65000</v>
      </c>
      <c r="F9" s="3">
        <v>20000</v>
      </c>
      <c r="G9" s="10">
        <f>SUM(D9:F9)</f>
        <v>85000</v>
      </c>
      <c r="I9" s="3"/>
      <c r="J9" s="3"/>
      <c r="K9" s="3">
        <f>K8-G9-I9+H9+SUM(M9:N9)</f>
        <v>413248.24</v>
      </c>
      <c r="M9" s="3">
        <f>$F$77</f>
        <v>26868.240000000002</v>
      </c>
      <c r="P9" s="10">
        <f>SUM(M9:O9)</f>
        <v>26868.240000000002</v>
      </c>
      <c r="Q9" s="10"/>
      <c r="R9" s="10">
        <f>F73</f>
        <v>83.720000000000013</v>
      </c>
      <c r="S9" s="10">
        <f>$H$73+$E$73</f>
        <v>215.28</v>
      </c>
      <c r="T9" s="70">
        <f>SUM(R9:S9)</f>
        <v>299</v>
      </c>
      <c r="V9" s="42">
        <f>F74</f>
        <v>147.56</v>
      </c>
      <c r="W9" s="10">
        <f>$H$74+$E$74</f>
        <v>379.44</v>
      </c>
      <c r="X9" s="74">
        <v>527</v>
      </c>
      <c r="Z9" s="42">
        <f>F75</f>
        <v>183.96</v>
      </c>
      <c r="AA9" s="10">
        <f>$H$75+$E$75</f>
        <v>473.04</v>
      </c>
      <c r="AB9" s="73">
        <v>657</v>
      </c>
    </row>
    <row r="10" spans="1:28" x14ac:dyDescent="0.25">
      <c r="A10" s="1">
        <v>2016</v>
      </c>
      <c r="B10" s="2">
        <v>1</v>
      </c>
      <c r="F10" s="3"/>
      <c r="G10" s="10">
        <f t="shared" ref="G10:G41" si="0">SUM(D10:F10)</f>
        <v>0</v>
      </c>
      <c r="K10" s="3">
        <f t="shared" ref="K10:K39" si="1">K9-G10-I10+H10+SUM(M10:N10)</f>
        <v>472225.89176470588</v>
      </c>
      <c r="M10" s="3">
        <f t="shared" ref="M10:M45" si="2">$F$77</f>
        <v>26868.240000000002</v>
      </c>
      <c r="N10" s="3">
        <f t="shared" ref="N10:N45" si="3">$I$77</f>
        <v>32109.411764705881</v>
      </c>
      <c r="P10" s="10">
        <f t="shared" ref="P10:P45" si="4">SUM(M10:O10)</f>
        <v>58977.651764705879</v>
      </c>
      <c r="Q10" s="10"/>
      <c r="R10" s="10">
        <f t="shared" ref="R10:R45" si="5">$H$66*P10</f>
        <v>183.67714798666324</v>
      </c>
      <c r="S10" s="10">
        <f>$H$73+$E$73</f>
        <v>215.28</v>
      </c>
      <c r="T10" s="70">
        <f t="shared" ref="T10:T45" si="6">SUM(R10:S10)</f>
        <v>398.95714798666324</v>
      </c>
      <c r="V10" s="42">
        <f t="shared" ref="V10:V45" si="7">$H$67*P10</f>
        <v>324.1361435058763</v>
      </c>
      <c r="W10" s="10">
        <f t="shared" ref="W10:W45" si="8">$H$74+$E$74</f>
        <v>379.44</v>
      </c>
      <c r="X10" s="74">
        <f t="shared" ref="X10:X45" si="9">SUM(V10:W10)</f>
        <v>703.5761435058763</v>
      </c>
      <c r="Z10" s="42">
        <f t="shared" ref="Z10:Z45" si="10">$H$68*P10</f>
        <v>404.08972557065908</v>
      </c>
      <c r="AA10" s="10">
        <f t="shared" ref="AA10:AA45" si="11">$H$75+$E$75</f>
        <v>473.04</v>
      </c>
      <c r="AB10" s="74">
        <f>SUM(Z10:AA10)</f>
        <v>877.12972557065905</v>
      </c>
    </row>
    <row r="11" spans="1:28" x14ac:dyDescent="0.25">
      <c r="A11" s="1">
        <v>2016</v>
      </c>
      <c r="B11" s="2">
        <v>2</v>
      </c>
      <c r="C11" s="2" t="s">
        <v>8</v>
      </c>
      <c r="E11" s="3">
        <v>319000</v>
      </c>
      <c r="F11" s="3"/>
      <c r="G11" s="10">
        <f t="shared" si="0"/>
        <v>319000</v>
      </c>
      <c r="H11" s="3">
        <v>100000</v>
      </c>
      <c r="K11" s="3">
        <f>K10-G11-I11+H11+SUM(M11:N11)</f>
        <v>312203.54352941178</v>
      </c>
      <c r="M11" s="3">
        <f t="shared" si="2"/>
        <v>26868.240000000002</v>
      </c>
      <c r="N11" s="3">
        <f t="shared" si="3"/>
        <v>32109.411764705881</v>
      </c>
      <c r="P11" s="10">
        <f t="shared" si="4"/>
        <v>58977.651764705879</v>
      </c>
      <c r="Q11" s="10"/>
      <c r="R11" s="10">
        <f t="shared" si="5"/>
        <v>183.67714798666324</v>
      </c>
      <c r="S11" s="10">
        <f t="shared" ref="S11:S45" si="12">$H$73+$E$73</f>
        <v>215.28</v>
      </c>
      <c r="T11" s="70">
        <f t="shared" si="6"/>
        <v>398.95714798666324</v>
      </c>
      <c r="V11" s="42">
        <f t="shared" si="7"/>
        <v>324.1361435058763</v>
      </c>
      <c r="W11" s="10">
        <f t="shared" si="8"/>
        <v>379.44</v>
      </c>
      <c r="X11" s="74">
        <f t="shared" si="9"/>
        <v>703.5761435058763</v>
      </c>
      <c r="Z11" s="42">
        <f t="shared" si="10"/>
        <v>404.08972557065908</v>
      </c>
      <c r="AA11" s="10">
        <f t="shared" si="11"/>
        <v>473.04</v>
      </c>
      <c r="AB11" s="74">
        <f t="shared" ref="AB11:AB45" si="13">SUM(Z11:AA11)</f>
        <v>877.12972557065905</v>
      </c>
    </row>
    <row r="12" spans="1:28" x14ac:dyDescent="0.25">
      <c r="A12" s="1">
        <v>2016</v>
      </c>
      <c r="B12" s="2">
        <v>3</v>
      </c>
      <c r="F12" s="3"/>
      <c r="G12" s="10">
        <f t="shared" si="0"/>
        <v>0</v>
      </c>
      <c r="K12" s="3">
        <f>K11-G12-I12+H12+SUM(M12:N12)</f>
        <v>371181.19529411767</v>
      </c>
      <c r="M12" s="3">
        <f t="shared" si="2"/>
        <v>26868.240000000002</v>
      </c>
      <c r="N12" s="3">
        <f t="shared" si="3"/>
        <v>32109.411764705881</v>
      </c>
      <c r="P12" s="10">
        <f t="shared" si="4"/>
        <v>58977.651764705879</v>
      </c>
      <c r="Q12" s="10"/>
      <c r="R12" s="10">
        <f t="shared" si="5"/>
        <v>183.67714798666324</v>
      </c>
      <c r="S12" s="10">
        <f t="shared" si="12"/>
        <v>215.28</v>
      </c>
      <c r="T12" s="70">
        <f t="shared" si="6"/>
        <v>398.95714798666324</v>
      </c>
      <c r="V12" s="42">
        <f t="shared" si="7"/>
        <v>324.1361435058763</v>
      </c>
      <c r="W12" s="10">
        <f t="shared" si="8"/>
        <v>379.44</v>
      </c>
      <c r="X12" s="74">
        <f t="shared" si="9"/>
        <v>703.5761435058763</v>
      </c>
      <c r="Z12" s="42">
        <f t="shared" si="10"/>
        <v>404.08972557065908</v>
      </c>
      <c r="AA12" s="10">
        <f t="shared" si="11"/>
        <v>473.04</v>
      </c>
      <c r="AB12" s="74">
        <f t="shared" si="13"/>
        <v>877.12972557065905</v>
      </c>
    </row>
    <row r="13" spans="1:28" x14ac:dyDescent="0.25">
      <c r="A13" s="1">
        <v>2016</v>
      </c>
      <c r="B13" s="2">
        <v>4</v>
      </c>
      <c r="D13" s="3">
        <v>108000</v>
      </c>
      <c r="F13" s="3">
        <v>25000</v>
      </c>
      <c r="G13" s="10">
        <f t="shared" si="0"/>
        <v>133000</v>
      </c>
      <c r="K13" s="3">
        <f t="shared" si="1"/>
        <v>297158.84705882357</v>
      </c>
      <c r="M13" s="3">
        <f t="shared" si="2"/>
        <v>26868.240000000002</v>
      </c>
      <c r="N13" s="3">
        <f t="shared" si="3"/>
        <v>32109.411764705881</v>
      </c>
      <c r="P13" s="10">
        <f t="shared" si="4"/>
        <v>58977.651764705879</v>
      </c>
      <c r="Q13" s="10"/>
      <c r="R13" s="10">
        <f t="shared" si="5"/>
        <v>183.67714798666324</v>
      </c>
      <c r="S13" s="10">
        <f t="shared" si="12"/>
        <v>215.28</v>
      </c>
      <c r="T13" s="70">
        <f t="shared" si="6"/>
        <v>398.95714798666324</v>
      </c>
      <c r="V13" s="42">
        <f t="shared" si="7"/>
        <v>324.1361435058763</v>
      </c>
      <c r="W13" s="10">
        <f t="shared" si="8"/>
        <v>379.44</v>
      </c>
      <c r="X13" s="74">
        <f t="shared" si="9"/>
        <v>703.5761435058763</v>
      </c>
      <c r="Z13" s="42">
        <f t="shared" si="10"/>
        <v>404.08972557065908</v>
      </c>
      <c r="AA13" s="10">
        <f t="shared" si="11"/>
        <v>473.04</v>
      </c>
      <c r="AB13" s="74">
        <f t="shared" si="13"/>
        <v>877.12972557065905</v>
      </c>
    </row>
    <row r="14" spans="1:28" x14ac:dyDescent="0.25">
      <c r="A14">
        <v>2017</v>
      </c>
      <c r="B14" s="2">
        <v>1</v>
      </c>
      <c r="F14" s="3"/>
      <c r="G14" s="10">
        <f t="shared" si="0"/>
        <v>0</v>
      </c>
      <c r="K14" s="3">
        <f t="shared" si="1"/>
        <v>356136.49882352946</v>
      </c>
      <c r="M14" s="3">
        <f t="shared" si="2"/>
        <v>26868.240000000002</v>
      </c>
      <c r="N14" s="3">
        <f t="shared" si="3"/>
        <v>32109.411764705881</v>
      </c>
      <c r="P14" s="10">
        <f t="shared" si="4"/>
        <v>58977.651764705879</v>
      </c>
      <c r="Q14" s="10"/>
      <c r="R14" s="10">
        <f t="shared" si="5"/>
        <v>183.67714798666324</v>
      </c>
      <c r="S14" s="10">
        <f t="shared" si="12"/>
        <v>215.28</v>
      </c>
      <c r="T14" s="70">
        <f t="shared" si="6"/>
        <v>398.95714798666324</v>
      </c>
      <c r="V14" s="42">
        <f t="shared" si="7"/>
        <v>324.1361435058763</v>
      </c>
      <c r="W14" s="10">
        <f t="shared" si="8"/>
        <v>379.44</v>
      </c>
      <c r="X14" s="74">
        <f t="shared" si="9"/>
        <v>703.5761435058763</v>
      </c>
      <c r="Z14" s="42">
        <f t="shared" si="10"/>
        <v>404.08972557065908</v>
      </c>
      <c r="AA14" s="10">
        <f t="shared" si="11"/>
        <v>473.04</v>
      </c>
      <c r="AB14" s="74">
        <f t="shared" si="13"/>
        <v>877.12972557065905</v>
      </c>
    </row>
    <row r="15" spans="1:28" x14ac:dyDescent="0.25">
      <c r="A15">
        <v>2017</v>
      </c>
      <c r="B15" s="2">
        <v>2</v>
      </c>
      <c r="C15" s="2" t="s">
        <v>9</v>
      </c>
      <c r="D15" s="3">
        <v>10000</v>
      </c>
      <c r="E15" s="3">
        <v>428000</v>
      </c>
      <c r="F15" s="3"/>
      <c r="G15" s="10">
        <f t="shared" si="0"/>
        <v>438000</v>
      </c>
      <c r="H15" s="3">
        <v>1900000</v>
      </c>
      <c r="K15" s="3">
        <f t="shared" si="1"/>
        <v>1877114.1505882354</v>
      </c>
      <c r="M15" s="3">
        <f t="shared" si="2"/>
        <v>26868.240000000002</v>
      </c>
      <c r="N15" s="3">
        <f t="shared" si="3"/>
        <v>32109.411764705881</v>
      </c>
      <c r="P15" s="10">
        <f t="shared" si="4"/>
        <v>58977.651764705879</v>
      </c>
      <c r="Q15" s="10"/>
      <c r="R15" s="10">
        <f t="shared" si="5"/>
        <v>183.67714798666324</v>
      </c>
      <c r="S15" s="10">
        <f t="shared" si="12"/>
        <v>215.28</v>
      </c>
      <c r="T15" s="70">
        <f t="shared" si="6"/>
        <v>398.95714798666324</v>
      </c>
      <c r="V15" s="42">
        <f t="shared" si="7"/>
        <v>324.1361435058763</v>
      </c>
      <c r="W15" s="10">
        <f t="shared" si="8"/>
        <v>379.44</v>
      </c>
      <c r="X15" s="74">
        <f t="shared" si="9"/>
        <v>703.5761435058763</v>
      </c>
      <c r="Z15" s="42">
        <f t="shared" si="10"/>
        <v>404.08972557065908</v>
      </c>
      <c r="AA15" s="10">
        <f t="shared" si="11"/>
        <v>473.04</v>
      </c>
      <c r="AB15" s="74">
        <f t="shared" si="13"/>
        <v>877.12972557065905</v>
      </c>
    </row>
    <row r="16" spans="1:28" x14ac:dyDescent="0.25">
      <c r="A16">
        <v>2017</v>
      </c>
      <c r="B16" s="2">
        <v>3</v>
      </c>
      <c r="F16" s="3"/>
      <c r="G16" s="10">
        <f t="shared" si="0"/>
        <v>0</v>
      </c>
      <c r="I16" s="10"/>
      <c r="J16" s="9"/>
      <c r="K16" s="3">
        <f t="shared" si="1"/>
        <v>1936091.8023529411</v>
      </c>
      <c r="M16" s="3">
        <f t="shared" si="2"/>
        <v>26868.240000000002</v>
      </c>
      <c r="N16" s="3">
        <f t="shared" si="3"/>
        <v>32109.411764705881</v>
      </c>
      <c r="O16" s="10">
        <f t="shared" ref="O16:O28" si="14">$F$61</f>
        <v>63639.309143445134</v>
      </c>
      <c r="P16" s="10">
        <f t="shared" si="4"/>
        <v>122616.96090815101</v>
      </c>
      <c r="Q16" s="10"/>
      <c r="R16" s="10">
        <f t="shared" si="5"/>
        <v>381.87233639368469</v>
      </c>
      <c r="S16" s="10">
        <f t="shared" si="12"/>
        <v>215.28</v>
      </c>
      <c r="T16" s="70">
        <f t="shared" si="6"/>
        <v>597.15233639368466</v>
      </c>
      <c r="V16" s="42">
        <f t="shared" si="7"/>
        <v>673.89235834179647</v>
      </c>
      <c r="W16" s="10">
        <f t="shared" si="8"/>
        <v>379.44</v>
      </c>
      <c r="X16" s="74">
        <f t="shared" si="9"/>
        <v>1053.3323583417964</v>
      </c>
      <c r="Z16" s="42">
        <f t="shared" si="10"/>
        <v>840.1191400661063</v>
      </c>
      <c r="AA16" s="10">
        <f t="shared" si="11"/>
        <v>473.04</v>
      </c>
      <c r="AB16" s="74">
        <f t="shared" si="13"/>
        <v>1313.1591400661064</v>
      </c>
    </row>
    <row r="17" spans="1:28" x14ac:dyDescent="0.25">
      <c r="A17">
        <v>2017</v>
      </c>
      <c r="B17" s="2">
        <v>4</v>
      </c>
      <c r="C17" s="2" t="s">
        <v>14</v>
      </c>
      <c r="D17" s="3">
        <v>136000</v>
      </c>
      <c r="E17" s="3">
        <v>40000</v>
      </c>
      <c r="F17" s="3">
        <v>25000</v>
      </c>
      <c r="G17" s="10">
        <f t="shared" si="0"/>
        <v>201000</v>
      </c>
      <c r="I17" s="10"/>
      <c r="J17" s="9"/>
      <c r="K17" s="3">
        <f t="shared" si="1"/>
        <v>1794069.4541176469</v>
      </c>
      <c r="M17" s="3">
        <f t="shared" si="2"/>
        <v>26868.240000000002</v>
      </c>
      <c r="N17" s="3">
        <f t="shared" si="3"/>
        <v>32109.411764705881</v>
      </c>
      <c r="O17" s="10">
        <f t="shared" si="14"/>
        <v>63639.309143445134</v>
      </c>
      <c r="P17" s="10">
        <f t="shared" si="4"/>
        <v>122616.96090815101</v>
      </c>
      <c r="Q17" s="10"/>
      <c r="R17" s="10">
        <f t="shared" si="5"/>
        <v>381.87233639368469</v>
      </c>
      <c r="S17" s="10">
        <f t="shared" si="12"/>
        <v>215.28</v>
      </c>
      <c r="T17" s="70">
        <f t="shared" si="6"/>
        <v>597.15233639368466</v>
      </c>
      <c r="V17" s="42">
        <f t="shared" si="7"/>
        <v>673.89235834179647</v>
      </c>
      <c r="W17" s="10">
        <f t="shared" si="8"/>
        <v>379.44</v>
      </c>
      <c r="X17" s="74">
        <f t="shared" si="9"/>
        <v>1053.3323583417964</v>
      </c>
      <c r="Z17" s="42">
        <f t="shared" si="10"/>
        <v>840.1191400661063</v>
      </c>
      <c r="AA17" s="10">
        <f t="shared" si="11"/>
        <v>473.04</v>
      </c>
      <c r="AB17" s="74">
        <f t="shared" si="13"/>
        <v>1313.1591400661064</v>
      </c>
    </row>
    <row r="18" spans="1:28" x14ac:dyDescent="0.25">
      <c r="A18">
        <v>2018</v>
      </c>
      <c r="B18" s="2">
        <v>1</v>
      </c>
      <c r="F18" s="3"/>
      <c r="G18" s="10">
        <f t="shared" si="0"/>
        <v>0</v>
      </c>
      <c r="I18" s="10"/>
      <c r="J18" s="9"/>
      <c r="K18" s="3">
        <f t="shared" si="1"/>
        <v>1853047.1058823527</v>
      </c>
      <c r="M18" s="3">
        <f t="shared" si="2"/>
        <v>26868.240000000002</v>
      </c>
      <c r="N18" s="3">
        <f t="shared" si="3"/>
        <v>32109.411764705881</v>
      </c>
      <c r="O18" s="10">
        <f t="shared" si="14"/>
        <v>63639.309143445134</v>
      </c>
      <c r="P18" s="10">
        <f t="shared" si="4"/>
        <v>122616.96090815101</v>
      </c>
      <c r="Q18" s="10"/>
      <c r="R18" s="10">
        <f t="shared" si="5"/>
        <v>381.87233639368469</v>
      </c>
      <c r="S18" s="10">
        <f t="shared" si="12"/>
        <v>215.28</v>
      </c>
      <c r="T18" s="70">
        <f t="shared" si="6"/>
        <v>597.15233639368466</v>
      </c>
      <c r="V18" s="42">
        <f t="shared" si="7"/>
        <v>673.89235834179647</v>
      </c>
      <c r="W18" s="10">
        <f t="shared" si="8"/>
        <v>379.44</v>
      </c>
      <c r="X18" s="74">
        <f t="shared" si="9"/>
        <v>1053.3323583417964</v>
      </c>
      <c r="Z18" s="42">
        <f t="shared" si="10"/>
        <v>840.1191400661063</v>
      </c>
      <c r="AA18" s="10">
        <f t="shared" si="11"/>
        <v>473.04</v>
      </c>
      <c r="AB18" s="74">
        <f t="shared" si="13"/>
        <v>1313.1591400661064</v>
      </c>
    </row>
    <row r="19" spans="1:28" x14ac:dyDescent="0.25">
      <c r="A19">
        <v>2018</v>
      </c>
      <c r="B19" s="2">
        <v>2</v>
      </c>
      <c r="C19" s="2" t="s">
        <v>10</v>
      </c>
      <c r="D19" s="3">
        <v>77000</v>
      </c>
      <c r="E19" s="3">
        <v>544000</v>
      </c>
      <c r="F19" s="3"/>
      <c r="G19" s="10">
        <f t="shared" si="0"/>
        <v>621000</v>
      </c>
      <c r="I19" s="10"/>
      <c r="J19" s="9"/>
      <c r="K19" s="3">
        <f t="shared" si="1"/>
        <v>1291024.7576470585</v>
      </c>
      <c r="M19" s="3">
        <f t="shared" si="2"/>
        <v>26868.240000000002</v>
      </c>
      <c r="N19" s="3">
        <f t="shared" si="3"/>
        <v>32109.411764705881</v>
      </c>
      <c r="O19" s="10">
        <f t="shared" si="14"/>
        <v>63639.309143445134</v>
      </c>
      <c r="P19" s="10">
        <f t="shared" si="4"/>
        <v>122616.96090815101</v>
      </c>
      <c r="Q19" s="10"/>
      <c r="R19" s="10">
        <f t="shared" si="5"/>
        <v>381.87233639368469</v>
      </c>
      <c r="S19" s="10">
        <f t="shared" si="12"/>
        <v>215.28</v>
      </c>
      <c r="T19" s="70">
        <f t="shared" si="6"/>
        <v>597.15233639368466</v>
      </c>
      <c r="V19" s="42">
        <f t="shared" si="7"/>
        <v>673.89235834179647</v>
      </c>
      <c r="W19" s="10">
        <f t="shared" si="8"/>
        <v>379.44</v>
      </c>
      <c r="X19" s="74">
        <f t="shared" si="9"/>
        <v>1053.3323583417964</v>
      </c>
      <c r="Z19" s="42">
        <f t="shared" si="10"/>
        <v>840.1191400661063</v>
      </c>
      <c r="AA19" s="10">
        <f t="shared" si="11"/>
        <v>473.04</v>
      </c>
      <c r="AB19" s="74">
        <f t="shared" si="13"/>
        <v>1313.1591400661064</v>
      </c>
    </row>
    <row r="20" spans="1:28" x14ac:dyDescent="0.25">
      <c r="A20">
        <v>2018</v>
      </c>
      <c r="B20" s="2">
        <v>3</v>
      </c>
      <c r="F20" s="3"/>
      <c r="G20" s="10">
        <f t="shared" si="0"/>
        <v>0</v>
      </c>
      <c r="I20" s="10"/>
      <c r="J20" s="9"/>
      <c r="K20" s="3">
        <f t="shared" si="1"/>
        <v>1350002.4094117642</v>
      </c>
      <c r="M20" s="3">
        <f t="shared" si="2"/>
        <v>26868.240000000002</v>
      </c>
      <c r="N20" s="3">
        <f t="shared" si="3"/>
        <v>32109.411764705881</v>
      </c>
      <c r="O20" s="10">
        <f t="shared" si="14"/>
        <v>63639.309143445134</v>
      </c>
      <c r="P20" s="10">
        <f t="shared" si="4"/>
        <v>122616.96090815101</v>
      </c>
      <c r="Q20" s="10"/>
      <c r="R20" s="10">
        <f t="shared" si="5"/>
        <v>381.87233639368469</v>
      </c>
      <c r="S20" s="10">
        <f t="shared" si="12"/>
        <v>215.28</v>
      </c>
      <c r="T20" s="70">
        <f t="shared" si="6"/>
        <v>597.15233639368466</v>
      </c>
      <c r="V20" s="42">
        <f t="shared" si="7"/>
        <v>673.89235834179647</v>
      </c>
      <c r="W20" s="10">
        <f t="shared" si="8"/>
        <v>379.44</v>
      </c>
      <c r="X20" s="74">
        <f t="shared" si="9"/>
        <v>1053.3323583417964</v>
      </c>
      <c r="Z20" s="42">
        <f t="shared" si="10"/>
        <v>840.1191400661063</v>
      </c>
      <c r="AA20" s="10">
        <f t="shared" si="11"/>
        <v>473.04</v>
      </c>
      <c r="AB20" s="74">
        <f t="shared" si="13"/>
        <v>1313.1591400661064</v>
      </c>
    </row>
    <row r="21" spans="1:28" x14ac:dyDescent="0.25">
      <c r="A21">
        <v>2018</v>
      </c>
      <c r="B21" s="2">
        <v>4</v>
      </c>
      <c r="C21" s="2" t="s">
        <v>15</v>
      </c>
      <c r="D21" s="3">
        <v>90000</v>
      </c>
      <c r="E21" s="3">
        <v>307000</v>
      </c>
      <c r="F21" s="3">
        <v>25000</v>
      </c>
      <c r="G21" s="10">
        <f t="shared" si="0"/>
        <v>422000</v>
      </c>
      <c r="I21" s="10"/>
      <c r="J21" s="9"/>
      <c r="K21" s="3">
        <f t="shared" si="1"/>
        <v>986980.06117647013</v>
      </c>
      <c r="M21" s="3">
        <f t="shared" si="2"/>
        <v>26868.240000000002</v>
      </c>
      <c r="N21" s="3">
        <f t="shared" si="3"/>
        <v>32109.411764705881</v>
      </c>
      <c r="O21" s="10">
        <f t="shared" si="14"/>
        <v>63639.309143445134</v>
      </c>
      <c r="P21" s="10">
        <f t="shared" si="4"/>
        <v>122616.96090815101</v>
      </c>
      <c r="Q21" s="10"/>
      <c r="R21" s="10">
        <f t="shared" si="5"/>
        <v>381.87233639368469</v>
      </c>
      <c r="S21" s="10">
        <f t="shared" si="12"/>
        <v>215.28</v>
      </c>
      <c r="T21" s="70">
        <f t="shared" si="6"/>
        <v>597.15233639368466</v>
      </c>
      <c r="V21" s="42">
        <f t="shared" si="7"/>
        <v>673.89235834179647</v>
      </c>
      <c r="W21" s="10">
        <f t="shared" si="8"/>
        <v>379.44</v>
      </c>
      <c r="X21" s="74">
        <f t="shared" si="9"/>
        <v>1053.3323583417964</v>
      </c>
      <c r="Z21" s="42">
        <f t="shared" si="10"/>
        <v>840.1191400661063</v>
      </c>
      <c r="AA21" s="10">
        <f t="shared" si="11"/>
        <v>473.04</v>
      </c>
      <c r="AB21" s="74">
        <f t="shared" si="13"/>
        <v>1313.1591400661064</v>
      </c>
    </row>
    <row r="22" spans="1:28" x14ac:dyDescent="0.25">
      <c r="A22">
        <v>2019</v>
      </c>
      <c r="B22" s="2">
        <v>1</v>
      </c>
      <c r="F22" s="3"/>
      <c r="G22" s="10">
        <f t="shared" si="0"/>
        <v>0</v>
      </c>
      <c r="I22" s="10"/>
      <c r="J22" s="9"/>
      <c r="K22" s="3">
        <f t="shared" si="1"/>
        <v>1045957.712941176</v>
      </c>
      <c r="M22" s="3">
        <f t="shared" si="2"/>
        <v>26868.240000000002</v>
      </c>
      <c r="N22" s="3">
        <f t="shared" si="3"/>
        <v>32109.411764705881</v>
      </c>
      <c r="O22" s="10">
        <f t="shared" si="14"/>
        <v>63639.309143445134</v>
      </c>
      <c r="P22" s="10">
        <f t="shared" si="4"/>
        <v>122616.96090815101</v>
      </c>
      <c r="Q22" s="10"/>
      <c r="R22" s="10">
        <f t="shared" si="5"/>
        <v>381.87233639368469</v>
      </c>
      <c r="S22" s="10">
        <f t="shared" si="12"/>
        <v>215.28</v>
      </c>
      <c r="T22" s="70">
        <f t="shared" si="6"/>
        <v>597.15233639368466</v>
      </c>
      <c r="V22" s="42">
        <f t="shared" si="7"/>
        <v>673.89235834179647</v>
      </c>
      <c r="W22" s="10">
        <f t="shared" si="8"/>
        <v>379.44</v>
      </c>
      <c r="X22" s="74">
        <f t="shared" si="9"/>
        <v>1053.3323583417964</v>
      </c>
      <c r="Z22" s="42">
        <f t="shared" si="10"/>
        <v>840.1191400661063</v>
      </c>
      <c r="AA22" s="10">
        <f t="shared" si="11"/>
        <v>473.04</v>
      </c>
      <c r="AB22" s="74">
        <f t="shared" si="13"/>
        <v>1313.1591400661064</v>
      </c>
    </row>
    <row r="23" spans="1:28" x14ac:dyDescent="0.25">
      <c r="A23">
        <v>2019</v>
      </c>
      <c r="B23" s="2">
        <v>2</v>
      </c>
      <c r="C23" s="2" t="s">
        <v>13</v>
      </c>
      <c r="D23" s="3">
        <v>74000</v>
      </c>
      <c r="E23" s="3">
        <v>366000</v>
      </c>
      <c r="F23" s="3"/>
      <c r="G23" s="10">
        <f t="shared" si="0"/>
        <v>440000</v>
      </c>
      <c r="I23" s="10"/>
      <c r="J23" s="9"/>
      <c r="K23" s="3">
        <f t="shared" si="1"/>
        <v>664935.36470588192</v>
      </c>
      <c r="M23" s="3">
        <f t="shared" si="2"/>
        <v>26868.240000000002</v>
      </c>
      <c r="N23" s="3">
        <f t="shared" si="3"/>
        <v>32109.411764705881</v>
      </c>
      <c r="O23" s="10">
        <f t="shared" si="14"/>
        <v>63639.309143445134</v>
      </c>
      <c r="P23" s="10">
        <f t="shared" si="4"/>
        <v>122616.96090815101</v>
      </c>
      <c r="Q23" s="10"/>
      <c r="R23" s="10">
        <f t="shared" si="5"/>
        <v>381.87233639368469</v>
      </c>
      <c r="S23" s="10">
        <f t="shared" si="12"/>
        <v>215.28</v>
      </c>
      <c r="T23" s="70">
        <f t="shared" si="6"/>
        <v>597.15233639368466</v>
      </c>
      <c r="V23" s="42">
        <f t="shared" si="7"/>
        <v>673.89235834179647</v>
      </c>
      <c r="W23" s="10">
        <f t="shared" si="8"/>
        <v>379.44</v>
      </c>
      <c r="X23" s="74">
        <f t="shared" si="9"/>
        <v>1053.3323583417964</v>
      </c>
      <c r="Z23" s="42">
        <f t="shared" si="10"/>
        <v>840.1191400661063</v>
      </c>
      <c r="AA23" s="10">
        <f t="shared" si="11"/>
        <v>473.04</v>
      </c>
      <c r="AB23" s="74">
        <f t="shared" si="13"/>
        <v>1313.1591400661064</v>
      </c>
    </row>
    <row r="24" spans="1:28" x14ac:dyDescent="0.25">
      <c r="A24">
        <v>2019</v>
      </c>
      <c r="B24" s="2">
        <v>3</v>
      </c>
      <c r="F24" s="3"/>
      <c r="G24" s="10">
        <f t="shared" si="0"/>
        <v>0</v>
      </c>
      <c r="I24" s="10"/>
      <c r="J24" s="9"/>
      <c r="K24" s="3">
        <f t="shared" si="1"/>
        <v>723913.01647058781</v>
      </c>
      <c r="M24" s="3">
        <f t="shared" si="2"/>
        <v>26868.240000000002</v>
      </c>
      <c r="N24" s="3">
        <f t="shared" si="3"/>
        <v>32109.411764705881</v>
      </c>
      <c r="O24" s="10">
        <f t="shared" si="14"/>
        <v>63639.309143445134</v>
      </c>
      <c r="P24" s="10">
        <f t="shared" si="4"/>
        <v>122616.96090815101</v>
      </c>
      <c r="Q24" s="10"/>
      <c r="R24" s="10">
        <f t="shared" si="5"/>
        <v>381.87233639368469</v>
      </c>
      <c r="S24" s="10">
        <f t="shared" si="12"/>
        <v>215.28</v>
      </c>
      <c r="T24" s="70">
        <f t="shared" si="6"/>
        <v>597.15233639368466</v>
      </c>
      <c r="V24" s="42">
        <f t="shared" si="7"/>
        <v>673.89235834179647</v>
      </c>
      <c r="W24" s="10">
        <f t="shared" si="8"/>
        <v>379.44</v>
      </c>
      <c r="X24" s="74">
        <f t="shared" si="9"/>
        <v>1053.3323583417964</v>
      </c>
      <c r="Z24" s="42">
        <f t="shared" si="10"/>
        <v>840.1191400661063</v>
      </c>
      <c r="AA24" s="10">
        <f t="shared" si="11"/>
        <v>473.04</v>
      </c>
      <c r="AB24" s="74">
        <f t="shared" si="13"/>
        <v>1313.1591400661064</v>
      </c>
    </row>
    <row r="25" spans="1:28" x14ac:dyDescent="0.25">
      <c r="A25">
        <v>2019</v>
      </c>
      <c r="B25" s="2">
        <v>4</v>
      </c>
      <c r="C25" s="2" t="s">
        <v>11</v>
      </c>
      <c r="D25" s="3">
        <v>72000</v>
      </c>
      <c r="E25" s="3">
        <v>307000</v>
      </c>
      <c r="F25" s="3">
        <v>30000</v>
      </c>
      <c r="G25" s="10">
        <f t="shared" si="0"/>
        <v>409000</v>
      </c>
      <c r="I25" s="10"/>
      <c r="J25" s="9"/>
      <c r="K25" s="3">
        <f t="shared" si="1"/>
        <v>373890.66823529371</v>
      </c>
      <c r="M25" s="3">
        <f t="shared" si="2"/>
        <v>26868.240000000002</v>
      </c>
      <c r="N25" s="3">
        <f t="shared" si="3"/>
        <v>32109.411764705881</v>
      </c>
      <c r="O25" s="10">
        <f t="shared" si="14"/>
        <v>63639.309143445134</v>
      </c>
      <c r="P25" s="10">
        <f t="shared" si="4"/>
        <v>122616.96090815101</v>
      </c>
      <c r="Q25" s="10"/>
      <c r="R25" s="10">
        <f t="shared" si="5"/>
        <v>381.87233639368469</v>
      </c>
      <c r="S25" s="10">
        <f t="shared" si="12"/>
        <v>215.28</v>
      </c>
      <c r="T25" s="70">
        <f t="shared" si="6"/>
        <v>597.15233639368466</v>
      </c>
      <c r="V25" s="42">
        <f t="shared" si="7"/>
        <v>673.89235834179647</v>
      </c>
      <c r="W25" s="10">
        <f t="shared" si="8"/>
        <v>379.44</v>
      </c>
      <c r="X25" s="74">
        <f t="shared" si="9"/>
        <v>1053.3323583417964</v>
      </c>
      <c r="Z25" s="42">
        <f t="shared" si="10"/>
        <v>840.1191400661063</v>
      </c>
      <c r="AA25" s="10">
        <f t="shared" si="11"/>
        <v>473.04</v>
      </c>
      <c r="AB25" s="74">
        <f t="shared" si="13"/>
        <v>1313.1591400661064</v>
      </c>
    </row>
    <row r="26" spans="1:28" x14ac:dyDescent="0.25">
      <c r="A26">
        <v>2020</v>
      </c>
      <c r="B26" s="2">
        <v>1</v>
      </c>
      <c r="F26" s="3"/>
      <c r="G26" s="10">
        <f t="shared" si="0"/>
        <v>0</v>
      </c>
      <c r="I26" s="10"/>
      <c r="J26" s="9"/>
      <c r="K26" s="3">
        <f t="shared" si="1"/>
        <v>432868.3199999996</v>
      </c>
      <c r="M26" s="3">
        <f t="shared" si="2"/>
        <v>26868.240000000002</v>
      </c>
      <c r="N26" s="3">
        <f t="shared" si="3"/>
        <v>32109.411764705881</v>
      </c>
      <c r="O26" s="10">
        <f t="shared" si="14"/>
        <v>63639.309143445134</v>
      </c>
      <c r="P26" s="10">
        <f t="shared" si="4"/>
        <v>122616.96090815101</v>
      </c>
      <c r="Q26" s="10"/>
      <c r="R26" s="10">
        <f t="shared" si="5"/>
        <v>381.87233639368469</v>
      </c>
      <c r="S26" s="10">
        <f t="shared" si="12"/>
        <v>215.28</v>
      </c>
      <c r="T26" s="70">
        <f t="shared" si="6"/>
        <v>597.15233639368466</v>
      </c>
      <c r="V26" s="42">
        <f t="shared" si="7"/>
        <v>673.89235834179647</v>
      </c>
      <c r="W26" s="10">
        <f t="shared" si="8"/>
        <v>379.44</v>
      </c>
      <c r="X26" s="74">
        <f t="shared" si="9"/>
        <v>1053.3323583417964</v>
      </c>
      <c r="Z26" s="42">
        <f t="shared" si="10"/>
        <v>840.1191400661063</v>
      </c>
      <c r="AA26" s="10">
        <f t="shared" si="11"/>
        <v>473.04</v>
      </c>
      <c r="AB26" s="74">
        <f t="shared" si="13"/>
        <v>1313.1591400661064</v>
      </c>
    </row>
    <row r="27" spans="1:28" x14ac:dyDescent="0.25">
      <c r="A27">
        <v>2020</v>
      </c>
      <c r="B27" s="2">
        <v>2</v>
      </c>
      <c r="C27" s="2" t="s">
        <v>12</v>
      </c>
      <c r="D27" s="8"/>
      <c r="E27" s="8">
        <v>289000</v>
      </c>
      <c r="F27" s="8"/>
      <c r="G27" s="20">
        <f t="shared" si="0"/>
        <v>289000</v>
      </c>
      <c r="H27" s="8">
        <v>0</v>
      </c>
      <c r="I27" s="10"/>
      <c r="J27" s="9"/>
      <c r="K27" s="3">
        <f t="shared" si="1"/>
        <v>202845.97176470549</v>
      </c>
      <c r="M27" s="3">
        <f t="shared" si="2"/>
        <v>26868.240000000002</v>
      </c>
      <c r="N27" s="3">
        <f t="shared" si="3"/>
        <v>32109.411764705881</v>
      </c>
      <c r="O27" s="10">
        <f t="shared" si="14"/>
        <v>63639.309143445134</v>
      </c>
      <c r="P27" s="10">
        <f t="shared" si="4"/>
        <v>122616.96090815101</v>
      </c>
      <c r="Q27" s="10"/>
      <c r="R27" s="10">
        <f t="shared" si="5"/>
        <v>381.87233639368469</v>
      </c>
      <c r="S27" s="10">
        <f t="shared" si="12"/>
        <v>215.28</v>
      </c>
      <c r="T27" s="70">
        <f t="shared" si="6"/>
        <v>597.15233639368466</v>
      </c>
      <c r="V27" s="42">
        <f t="shared" si="7"/>
        <v>673.89235834179647</v>
      </c>
      <c r="W27" s="10">
        <f t="shared" si="8"/>
        <v>379.44</v>
      </c>
      <c r="X27" s="74">
        <f t="shared" si="9"/>
        <v>1053.3323583417964</v>
      </c>
      <c r="Z27" s="42">
        <f t="shared" si="10"/>
        <v>840.1191400661063</v>
      </c>
      <c r="AA27" s="10">
        <f t="shared" si="11"/>
        <v>473.04</v>
      </c>
      <c r="AB27" s="74">
        <f t="shared" si="13"/>
        <v>1313.1591400661064</v>
      </c>
    </row>
    <row r="28" spans="1:28" x14ac:dyDescent="0.25">
      <c r="A28">
        <v>2020</v>
      </c>
      <c r="B28" s="2">
        <v>3</v>
      </c>
      <c r="G28" s="20">
        <f t="shared" si="0"/>
        <v>0</v>
      </c>
      <c r="K28" s="3">
        <f t="shared" si="1"/>
        <v>261823.62352941139</v>
      </c>
      <c r="M28" s="3">
        <f t="shared" si="2"/>
        <v>26868.240000000002</v>
      </c>
      <c r="N28" s="3">
        <f t="shared" si="3"/>
        <v>32109.411764705881</v>
      </c>
      <c r="O28" s="10">
        <f t="shared" si="14"/>
        <v>63639.309143445134</v>
      </c>
      <c r="P28" s="10">
        <f t="shared" si="4"/>
        <v>122616.96090815101</v>
      </c>
      <c r="Q28" s="10"/>
      <c r="R28" s="10">
        <f t="shared" si="5"/>
        <v>381.87233639368469</v>
      </c>
      <c r="S28" s="10">
        <f t="shared" si="12"/>
        <v>215.28</v>
      </c>
      <c r="T28" s="70">
        <f t="shared" si="6"/>
        <v>597.15233639368466</v>
      </c>
      <c r="V28" s="42">
        <f t="shared" si="7"/>
        <v>673.89235834179647</v>
      </c>
      <c r="W28" s="10">
        <f t="shared" si="8"/>
        <v>379.44</v>
      </c>
      <c r="X28" s="74">
        <f t="shared" si="9"/>
        <v>1053.3323583417964</v>
      </c>
      <c r="Z28" s="42">
        <f t="shared" si="10"/>
        <v>840.1191400661063</v>
      </c>
      <c r="AA28" s="10">
        <f t="shared" si="11"/>
        <v>473.04</v>
      </c>
      <c r="AB28" s="74">
        <f t="shared" si="13"/>
        <v>1313.1591400661064</v>
      </c>
    </row>
    <row r="29" spans="1:28" x14ac:dyDescent="0.25">
      <c r="A29">
        <v>2020</v>
      </c>
      <c r="B29" s="2">
        <v>4</v>
      </c>
      <c r="F29" s="3">
        <v>30000</v>
      </c>
      <c r="G29" s="20">
        <f t="shared" si="0"/>
        <v>30000</v>
      </c>
      <c r="K29" s="3">
        <f t="shared" si="1"/>
        <v>290801.27529411728</v>
      </c>
      <c r="M29" s="3">
        <f t="shared" si="2"/>
        <v>26868.240000000002</v>
      </c>
      <c r="N29" s="3">
        <f t="shared" si="3"/>
        <v>32109.411764705881</v>
      </c>
      <c r="O29" s="10">
        <f t="shared" ref="O29:O45" si="15">$F$61</f>
        <v>63639.309143445134</v>
      </c>
      <c r="P29" s="10">
        <f t="shared" si="4"/>
        <v>122616.96090815101</v>
      </c>
      <c r="Q29" s="10"/>
      <c r="R29" s="10">
        <f t="shared" si="5"/>
        <v>381.87233639368469</v>
      </c>
      <c r="S29" s="10">
        <f t="shared" si="12"/>
        <v>215.28</v>
      </c>
      <c r="T29" s="70">
        <f t="shared" si="6"/>
        <v>597.15233639368466</v>
      </c>
      <c r="V29" s="42">
        <f t="shared" si="7"/>
        <v>673.89235834179647</v>
      </c>
      <c r="W29" s="10">
        <f t="shared" si="8"/>
        <v>379.44</v>
      </c>
      <c r="X29" s="74">
        <f t="shared" si="9"/>
        <v>1053.3323583417964</v>
      </c>
      <c r="Z29" s="42">
        <f t="shared" si="10"/>
        <v>840.1191400661063</v>
      </c>
      <c r="AA29" s="10">
        <f t="shared" si="11"/>
        <v>473.04</v>
      </c>
      <c r="AB29" s="74">
        <f t="shared" si="13"/>
        <v>1313.1591400661064</v>
      </c>
    </row>
    <row r="30" spans="1:28" x14ac:dyDescent="0.25">
      <c r="A30">
        <v>2021</v>
      </c>
      <c r="B30" s="2">
        <v>1</v>
      </c>
      <c r="F30" s="3"/>
      <c r="G30" s="20">
        <f t="shared" si="0"/>
        <v>0</v>
      </c>
      <c r="K30" s="3">
        <f t="shared" si="1"/>
        <v>349778.92705882317</v>
      </c>
      <c r="M30" s="3">
        <f t="shared" si="2"/>
        <v>26868.240000000002</v>
      </c>
      <c r="N30" s="3">
        <f t="shared" si="3"/>
        <v>32109.411764705881</v>
      </c>
      <c r="O30" s="10">
        <f t="shared" si="15"/>
        <v>63639.309143445134</v>
      </c>
      <c r="P30" s="10">
        <f t="shared" si="4"/>
        <v>122616.96090815101</v>
      </c>
      <c r="Q30" s="10"/>
      <c r="R30" s="10">
        <f t="shared" si="5"/>
        <v>381.87233639368469</v>
      </c>
      <c r="S30" s="10">
        <f t="shared" si="12"/>
        <v>215.28</v>
      </c>
      <c r="T30" s="70">
        <f t="shared" si="6"/>
        <v>597.15233639368466</v>
      </c>
      <c r="V30" s="42">
        <f t="shared" si="7"/>
        <v>673.89235834179647</v>
      </c>
      <c r="W30" s="10">
        <f t="shared" si="8"/>
        <v>379.44</v>
      </c>
      <c r="X30" s="74">
        <f t="shared" si="9"/>
        <v>1053.3323583417964</v>
      </c>
      <c r="Z30" s="42">
        <f t="shared" si="10"/>
        <v>840.1191400661063</v>
      </c>
      <c r="AA30" s="10">
        <f t="shared" si="11"/>
        <v>473.04</v>
      </c>
      <c r="AB30" s="74">
        <f t="shared" si="13"/>
        <v>1313.1591400661064</v>
      </c>
    </row>
    <row r="31" spans="1:28" x14ac:dyDescent="0.25">
      <c r="A31">
        <v>2021</v>
      </c>
      <c r="B31" s="2">
        <v>2</v>
      </c>
      <c r="F31" s="3"/>
      <c r="G31" s="20">
        <f t="shared" si="0"/>
        <v>0</v>
      </c>
      <c r="K31" s="3">
        <f t="shared" si="1"/>
        <v>408756.57882352907</v>
      </c>
      <c r="M31" s="3">
        <f t="shared" si="2"/>
        <v>26868.240000000002</v>
      </c>
      <c r="N31" s="3">
        <f t="shared" si="3"/>
        <v>32109.411764705881</v>
      </c>
      <c r="O31" s="10">
        <f t="shared" si="15"/>
        <v>63639.309143445134</v>
      </c>
      <c r="P31" s="10">
        <f t="shared" si="4"/>
        <v>122616.96090815101</v>
      </c>
      <c r="Q31" s="10"/>
      <c r="R31" s="10">
        <f t="shared" si="5"/>
        <v>381.87233639368469</v>
      </c>
      <c r="S31" s="10">
        <f t="shared" si="12"/>
        <v>215.28</v>
      </c>
      <c r="T31" s="70">
        <f t="shared" si="6"/>
        <v>597.15233639368466</v>
      </c>
      <c r="V31" s="42">
        <f t="shared" si="7"/>
        <v>673.89235834179647</v>
      </c>
      <c r="W31" s="10">
        <f t="shared" si="8"/>
        <v>379.44</v>
      </c>
      <c r="X31" s="74">
        <f t="shared" si="9"/>
        <v>1053.3323583417964</v>
      </c>
      <c r="Z31" s="42">
        <f t="shared" si="10"/>
        <v>840.1191400661063</v>
      </c>
      <c r="AA31" s="10">
        <f t="shared" si="11"/>
        <v>473.04</v>
      </c>
      <c r="AB31" s="74">
        <f t="shared" si="13"/>
        <v>1313.1591400661064</v>
      </c>
    </row>
    <row r="32" spans="1:28" x14ac:dyDescent="0.25">
      <c r="A32">
        <v>2021</v>
      </c>
      <c r="B32" s="2">
        <v>3</v>
      </c>
      <c r="F32" s="3"/>
      <c r="G32" s="20">
        <f t="shared" si="0"/>
        <v>0</v>
      </c>
      <c r="K32" s="3">
        <f t="shared" si="1"/>
        <v>467734.23058823496</v>
      </c>
      <c r="M32" s="3">
        <f t="shared" si="2"/>
        <v>26868.240000000002</v>
      </c>
      <c r="N32" s="3">
        <f t="shared" si="3"/>
        <v>32109.411764705881</v>
      </c>
      <c r="O32" s="10">
        <f t="shared" si="15"/>
        <v>63639.309143445134</v>
      </c>
      <c r="P32" s="10">
        <f t="shared" si="4"/>
        <v>122616.96090815101</v>
      </c>
      <c r="Q32" s="10"/>
      <c r="R32" s="10">
        <f t="shared" si="5"/>
        <v>381.87233639368469</v>
      </c>
      <c r="S32" s="10">
        <f t="shared" si="12"/>
        <v>215.28</v>
      </c>
      <c r="T32" s="70">
        <f t="shared" si="6"/>
        <v>597.15233639368466</v>
      </c>
      <c r="V32" s="42">
        <f t="shared" si="7"/>
        <v>673.89235834179647</v>
      </c>
      <c r="W32" s="10">
        <f t="shared" si="8"/>
        <v>379.44</v>
      </c>
      <c r="X32" s="74">
        <f t="shared" si="9"/>
        <v>1053.3323583417964</v>
      </c>
      <c r="Z32" s="42">
        <f t="shared" si="10"/>
        <v>840.1191400661063</v>
      </c>
      <c r="AA32" s="10">
        <f t="shared" si="11"/>
        <v>473.04</v>
      </c>
      <c r="AB32" s="74">
        <f t="shared" si="13"/>
        <v>1313.1591400661064</v>
      </c>
    </row>
    <row r="33" spans="1:28" x14ac:dyDescent="0.25">
      <c r="A33">
        <v>2021</v>
      </c>
      <c r="B33" s="2">
        <v>4</v>
      </c>
      <c r="F33" s="3">
        <v>30000</v>
      </c>
      <c r="G33" s="20">
        <f t="shared" si="0"/>
        <v>30000</v>
      </c>
      <c r="K33" s="3">
        <f t="shared" si="1"/>
        <v>496711.88235294085</v>
      </c>
      <c r="M33" s="3">
        <f t="shared" si="2"/>
        <v>26868.240000000002</v>
      </c>
      <c r="N33" s="3">
        <f t="shared" si="3"/>
        <v>32109.411764705881</v>
      </c>
      <c r="O33" s="10">
        <f t="shared" si="15"/>
        <v>63639.309143445134</v>
      </c>
      <c r="P33" s="10">
        <f t="shared" si="4"/>
        <v>122616.96090815101</v>
      </c>
      <c r="Q33" s="10"/>
      <c r="R33" s="10">
        <f t="shared" si="5"/>
        <v>381.87233639368469</v>
      </c>
      <c r="S33" s="10">
        <f t="shared" si="12"/>
        <v>215.28</v>
      </c>
      <c r="T33" s="70">
        <f t="shared" si="6"/>
        <v>597.15233639368466</v>
      </c>
      <c r="V33" s="42">
        <f t="shared" si="7"/>
        <v>673.89235834179647</v>
      </c>
      <c r="W33" s="10">
        <f t="shared" si="8"/>
        <v>379.44</v>
      </c>
      <c r="X33" s="74">
        <f t="shared" si="9"/>
        <v>1053.3323583417964</v>
      </c>
      <c r="Z33" s="42">
        <f t="shared" si="10"/>
        <v>840.1191400661063</v>
      </c>
      <c r="AA33" s="10">
        <f t="shared" si="11"/>
        <v>473.04</v>
      </c>
      <c r="AB33" s="74">
        <f t="shared" si="13"/>
        <v>1313.1591400661064</v>
      </c>
    </row>
    <row r="34" spans="1:28" x14ac:dyDescent="0.25">
      <c r="A34">
        <v>2022</v>
      </c>
      <c r="B34" s="2">
        <v>1</v>
      </c>
      <c r="F34" s="3"/>
      <c r="G34" s="20">
        <f t="shared" si="0"/>
        <v>0</v>
      </c>
      <c r="K34" s="3">
        <f t="shared" si="1"/>
        <v>555689.53411764675</v>
      </c>
      <c r="M34" s="3">
        <f t="shared" si="2"/>
        <v>26868.240000000002</v>
      </c>
      <c r="N34" s="3">
        <f t="shared" si="3"/>
        <v>32109.411764705881</v>
      </c>
      <c r="O34" s="10">
        <f t="shared" si="15"/>
        <v>63639.309143445134</v>
      </c>
      <c r="P34" s="10">
        <f t="shared" si="4"/>
        <v>122616.96090815101</v>
      </c>
      <c r="Q34" s="10"/>
      <c r="R34" s="10">
        <f t="shared" si="5"/>
        <v>381.87233639368469</v>
      </c>
      <c r="S34" s="10">
        <f t="shared" si="12"/>
        <v>215.28</v>
      </c>
      <c r="T34" s="70">
        <f t="shared" si="6"/>
        <v>597.15233639368466</v>
      </c>
      <c r="V34" s="42">
        <f t="shared" si="7"/>
        <v>673.89235834179647</v>
      </c>
      <c r="W34" s="10">
        <f t="shared" si="8"/>
        <v>379.44</v>
      </c>
      <c r="X34" s="74">
        <f t="shared" si="9"/>
        <v>1053.3323583417964</v>
      </c>
      <c r="Z34" s="42">
        <f t="shared" si="10"/>
        <v>840.1191400661063</v>
      </c>
      <c r="AA34" s="10">
        <f t="shared" si="11"/>
        <v>473.04</v>
      </c>
      <c r="AB34" s="74">
        <f t="shared" si="13"/>
        <v>1313.1591400661064</v>
      </c>
    </row>
    <row r="35" spans="1:28" x14ac:dyDescent="0.25">
      <c r="A35">
        <v>2022</v>
      </c>
      <c r="B35" s="2">
        <v>2</v>
      </c>
      <c r="F35" s="3"/>
      <c r="G35" s="20">
        <f t="shared" si="0"/>
        <v>0</v>
      </c>
      <c r="K35" s="3">
        <f t="shared" si="1"/>
        <v>614667.18588235264</v>
      </c>
      <c r="M35" s="3">
        <f t="shared" si="2"/>
        <v>26868.240000000002</v>
      </c>
      <c r="N35" s="3">
        <f t="shared" si="3"/>
        <v>32109.411764705881</v>
      </c>
      <c r="O35" s="10">
        <f t="shared" si="15"/>
        <v>63639.309143445134</v>
      </c>
      <c r="P35" s="10">
        <f t="shared" si="4"/>
        <v>122616.96090815101</v>
      </c>
      <c r="Q35" s="10"/>
      <c r="R35" s="10">
        <f t="shared" si="5"/>
        <v>381.87233639368469</v>
      </c>
      <c r="S35" s="10">
        <f t="shared" si="12"/>
        <v>215.28</v>
      </c>
      <c r="T35" s="70">
        <f t="shared" si="6"/>
        <v>597.15233639368466</v>
      </c>
      <c r="V35" s="42">
        <f t="shared" si="7"/>
        <v>673.89235834179647</v>
      </c>
      <c r="W35" s="10">
        <f t="shared" si="8"/>
        <v>379.44</v>
      </c>
      <c r="X35" s="74">
        <f t="shared" si="9"/>
        <v>1053.3323583417964</v>
      </c>
      <c r="Z35" s="42">
        <f t="shared" si="10"/>
        <v>840.1191400661063</v>
      </c>
      <c r="AA35" s="10">
        <f t="shared" si="11"/>
        <v>473.04</v>
      </c>
      <c r="AB35" s="74">
        <f t="shared" si="13"/>
        <v>1313.1591400661064</v>
      </c>
    </row>
    <row r="36" spans="1:28" x14ac:dyDescent="0.25">
      <c r="A36">
        <v>2022</v>
      </c>
      <c r="B36" s="2">
        <v>3</v>
      </c>
      <c r="F36" s="3"/>
      <c r="G36" s="20">
        <f t="shared" si="0"/>
        <v>0</v>
      </c>
      <c r="K36" s="3">
        <f t="shared" si="1"/>
        <v>673644.83764705854</v>
      </c>
      <c r="M36" s="3">
        <f t="shared" si="2"/>
        <v>26868.240000000002</v>
      </c>
      <c r="N36" s="3">
        <f t="shared" si="3"/>
        <v>32109.411764705881</v>
      </c>
      <c r="O36" s="10">
        <f t="shared" si="15"/>
        <v>63639.309143445134</v>
      </c>
      <c r="P36" s="10">
        <f t="shared" si="4"/>
        <v>122616.96090815101</v>
      </c>
      <c r="Q36" s="10"/>
      <c r="R36" s="10">
        <f t="shared" si="5"/>
        <v>381.87233639368469</v>
      </c>
      <c r="S36" s="10">
        <f t="shared" si="12"/>
        <v>215.28</v>
      </c>
      <c r="T36" s="70">
        <f t="shared" si="6"/>
        <v>597.15233639368466</v>
      </c>
      <c r="V36" s="42">
        <f t="shared" si="7"/>
        <v>673.89235834179647</v>
      </c>
      <c r="W36" s="10">
        <f t="shared" si="8"/>
        <v>379.44</v>
      </c>
      <c r="X36" s="74">
        <f t="shared" si="9"/>
        <v>1053.3323583417964</v>
      </c>
      <c r="Z36" s="42">
        <f t="shared" si="10"/>
        <v>840.1191400661063</v>
      </c>
      <c r="AA36" s="10">
        <f t="shared" si="11"/>
        <v>473.04</v>
      </c>
      <c r="AB36" s="74">
        <f t="shared" si="13"/>
        <v>1313.1591400661064</v>
      </c>
    </row>
    <row r="37" spans="1:28" x14ac:dyDescent="0.25">
      <c r="A37">
        <v>2022</v>
      </c>
      <c r="B37" s="2">
        <v>4</v>
      </c>
      <c r="F37" s="3"/>
      <c r="G37" s="20">
        <f t="shared" si="0"/>
        <v>0</v>
      </c>
      <c r="K37" s="3">
        <f t="shared" si="1"/>
        <v>732622.48941176443</v>
      </c>
      <c r="M37" s="3">
        <f t="shared" si="2"/>
        <v>26868.240000000002</v>
      </c>
      <c r="N37" s="3">
        <f t="shared" si="3"/>
        <v>32109.411764705881</v>
      </c>
      <c r="O37" s="10">
        <f t="shared" si="15"/>
        <v>63639.309143445134</v>
      </c>
      <c r="P37" s="10">
        <f t="shared" si="4"/>
        <v>122616.96090815101</v>
      </c>
      <c r="Q37" s="10"/>
      <c r="R37" s="10">
        <f t="shared" si="5"/>
        <v>381.87233639368469</v>
      </c>
      <c r="S37" s="10">
        <f t="shared" si="12"/>
        <v>215.28</v>
      </c>
      <c r="T37" s="70">
        <f t="shared" si="6"/>
        <v>597.15233639368466</v>
      </c>
      <c r="V37" s="42">
        <f t="shared" si="7"/>
        <v>673.89235834179647</v>
      </c>
      <c r="W37" s="10">
        <f t="shared" si="8"/>
        <v>379.44</v>
      </c>
      <c r="X37" s="74">
        <f t="shared" si="9"/>
        <v>1053.3323583417964</v>
      </c>
      <c r="Z37" s="42">
        <f t="shared" si="10"/>
        <v>840.1191400661063</v>
      </c>
      <c r="AA37" s="10">
        <f t="shared" si="11"/>
        <v>473.04</v>
      </c>
      <c r="AB37" s="74">
        <f t="shared" si="13"/>
        <v>1313.1591400661064</v>
      </c>
    </row>
    <row r="38" spans="1:28" x14ac:dyDescent="0.25">
      <c r="A38">
        <v>2023</v>
      </c>
      <c r="B38" s="2">
        <v>1</v>
      </c>
      <c r="G38" s="20">
        <f t="shared" si="0"/>
        <v>0</v>
      </c>
      <c r="K38" s="3">
        <f t="shared" si="1"/>
        <v>791600.14117647032</v>
      </c>
      <c r="M38" s="3">
        <f t="shared" si="2"/>
        <v>26868.240000000002</v>
      </c>
      <c r="N38" s="3">
        <f t="shared" si="3"/>
        <v>32109.411764705881</v>
      </c>
      <c r="O38" s="10">
        <f t="shared" si="15"/>
        <v>63639.309143445134</v>
      </c>
      <c r="P38" s="10">
        <f t="shared" si="4"/>
        <v>122616.96090815101</v>
      </c>
      <c r="Q38" s="10"/>
      <c r="R38" s="10">
        <f t="shared" si="5"/>
        <v>381.87233639368469</v>
      </c>
      <c r="S38" s="10">
        <f t="shared" si="12"/>
        <v>215.28</v>
      </c>
      <c r="T38" s="70">
        <f t="shared" si="6"/>
        <v>597.15233639368466</v>
      </c>
      <c r="V38" s="42">
        <f t="shared" si="7"/>
        <v>673.89235834179647</v>
      </c>
      <c r="W38" s="10">
        <f t="shared" si="8"/>
        <v>379.44</v>
      </c>
      <c r="X38" s="74">
        <f t="shared" si="9"/>
        <v>1053.3323583417964</v>
      </c>
      <c r="Z38" s="42">
        <f t="shared" si="10"/>
        <v>840.1191400661063</v>
      </c>
      <c r="AA38" s="10">
        <f t="shared" si="11"/>
        <v>473.04</v>
      </c>
      <c r="AB38" s="74">
        <f t="shared" si="13"/>
        <v>1313.1591400661064</v>
      </c>
    </row>
    <row r="39" spans="1:28" x14ac:dyDescent="0.25">
      <c r="A39">
        <v>2023</v>
      </c>
      <c r="B39" s="2">
        <v>2</v>
      </c>
      <c r="G39" s="20">
        <f t="shared" si="0"/>
        <v>0</v>
      </c>
      <c r="K39" s="3">
        <f t="shared" si="1"/>
        <v>850577.79294117622</v>
      </c>
      <c r="M39" s="3">
        <f t="shared" si="2"/>
        <v>26868.240000000002</v>
      </c>
      <c r="N39" s="3">
        <f t="shared" si="3"/>
        <v>32109.411764705881</v>
      </c>
      <c r="O39" s="10">
        <f t="shared" si="15"/>
        <v>63639.309143445134</v>
      </c>
      <c r="P39" s="10">
        <f t="shared" si="4"/>
        <v>122616.96090815101</v>
      </c>
      <c r="Q39" s="10"/>
      <c r="R39" s="10">
        <f t="shared" si="5"/>
        <v>381.87233639368469</v>
      </c>
      <c r="S39" s="10">
        <f t="shared" si="12"/>
        <v>215.28</v>
      </c>
      <c r="T39" s="70">
        <f t="shared" si="6"/>
        <v>597.15233639368466</v>
      </c>
      <c r="V39" s="42">
        <f t="shared" si="7"/>
        <v>673.89235834179647</v>
      </c>
      <c r="W39" s="10">
        <f t="shared" si="8"/>
        <v>379.44</v>
      </c>
      <c r="X39" s="74">
        <f t="shared" si="9"/>
        <v>1053.3323583417964</v>
      </c>
      <c r="Z39" s="42">
        <f t="shared" si="10"/>
        <v>840.1191400661063</v>
      </c>
      <c r="AA39" s="10">
        <f t="shared" si="11"/>
        <v>473.04</v>
      </c>
      <c r="AB39" s="74">
        <f t="shared" si="13"/>
        <v>1313.1591400661064</v>
      </c>
    </row>
    <row r="40" spans="1:28" x14ac:dyDescent="0.25">
      <c r="A40">
        <v>2023</v>
      </c>
      <c r="B40" s="2">
        <v>3</v>
      </c>
      <c r="G40" s="20">
        <f t="shared" si="0"/>
        <v>0</v>
      </c>
      <c r="K40" s="3">
        <f t="shared" ref="K40:K45" si="16">K39-G40-I40+H40+SUM(M40:N40)</f>
        <v>909555.44470588211</v>
      </c>
      <c r="M40" s="3">
        <f t="shared" si="2"/>
        <v>26868.240000000002</v>
      </c>
      <c r="N40" s="3">
        <f t="shared" si="3"/>
        <v>32109.411764705881</v>
      </c>
      <c r="O40" s="10">
        <f t="shared" si="15"/>
        <v>63639.309143445134</v>
      </c>
      <c r="P40" s="10">
        <f t="shared" si="4"/>
        <v>122616.96090815101</v>
      </c>
      <c r="Q40" s="10"/>
      <c r="R40" s="10">
        <f t="shared" si="5"/>
        <v>381.87233639368469</v>
      </c>
      <c r="S40" s="10">
        <f t="shared" si="12"/>
        <v>215.28</v>
      </c>
      <c r="T40" s="70">
        <f t="shared" si="6"/>
        <v>597.15233639368466</v>
      </c>
      <c r="V40" s="42">
        <f t="shared" si="7"/>
        <v>673.89235834179647</v>
      </c>
      <c r="W40" s="10">
        <f t="shared" si="8"/>
        <v>379.44</v>
      </c>
      <c r="X40" s="74">
        <f t="shared" si="9"/>
        <v>1053.3323583417964</v>
      </c>
      <c r="Z40" s="42">
        <f t="shared" si="10"/>
        <v>840.1191400661063</v>
      </c>
      <c r="AA40" s="10">
        <f t="shared" si="11"/>
        <v>473.04</v>
      </c>
      <c r="AB40" s="74">
        <f t="shared" si="13"/>
        <v>1313.1591400661064</v>
      </c>
    </row>
    <row r="41" spans="1:28" x14ac:dyDescent="0.25">
      <c r="A41">
        <v>2023</v>
      </c>
      <c r="B41" s="2">
        <v>4</v>
      </c>
      <c r="F41" s="3"/>
      <c r="G41" s="20">
        <f t="shared" si="0"/>
        <v>0</v>
      </c>
      <c r="K41" s="3">
        <f t="shared" si="16"/>
        <v>968533.096470588</v>
      </c>
      <c r="M41" s="3">
        <f t="shared" si="2"/>
        <v>26868.240000000002</v>
      </c>
      <c r="N41" s="3">
        <f t="shared" si="3"/>
        <v>32109.411764705881</v>
      </c>
      <c r="O41" s="10">
        <f t="shared" si="15"/>
        <v>63639.309143445134</v>
      </c>
      <c r="P41" s="10">
        <f t="shared" si="4"/>
        <v>122616.96090815101</v>
      </c>
      <c r="Q41" s="10"/>
      <c r="R41" s="10">
        <f t="shared" si="5"/>
        <v>381.87233639368469</v>
      </c>
      <c r="S41" s="10">
        <f t="shared" si="12"/>
        <v>215.28</v>
      </c>
      <c r="T41" s="70">
        <f t="shared" si="6"/>
        <v>597.15233639368466</v>
      </c>
      <c r="V41" s="42">
        <f t="shared" si="7"/>
        <v>673.89235834179647</v>
      </c>
      <c r="W41" s="10">
        <f t="shared" si="8"/>
        <v>379.44</v>
      </c>
      <c r="X41" s="74">
        <f t="shared" si="9"/>
        <v>1053.3323583417964</v>
      </c>
      <c r="Z41" s="42">
        <f t="shared" si="10"/>
        <v>840.1191400661063</v>
      </c>
      <c r="AA41" s="10">
        <f t="shared" si="11"/>
        <v>473.04</v>
      </c>
      <c r="AB41" s="74">
        <f t="shared" si="13"/>
        <v>1313.1591400661064</v>
      </c>
    </row>
    <row r="42" spans="1:28" x14ac:dyDescent="0.25">
      <c r="A42">
        <v>2024</v>
      </c>
      <c r="B42" s="2">
        <v>1</v>
      </c>
      <c r="C42" s="2" t="s">
        <v>21</v>
      </c>
      <c r="D42" s="3">
        <v>80000</v>
      </c>
      <c r="G42" s="20">
        <f>SUM(D42:F42)</f>
        <v>80000</v>
      </c>
      <c r="K42" s="3">
        <f t="shared" si="16"/>
        <v>947510.7482352939</v>
      </c>
      <c r="M42" s="3">
        <f t="shared" si="2"/>
        <v>26868.240000000002</v>
      </c>
      <c r="N42" s="3">
        <f t="shared" si="3"/>
        <v>32109.411764705881</v>
      </c>
      <c r="O42" s="10">
        <f t="shared" si="15"/>
        <v>63639.309143445134</v>
      </c>
      <c r="P42" s="10">
        <f t="shared" si="4"/>
        <v>122616.96090815101</v>
      </c>
      <c r="Q42" s="10"/>
      <c r="R42" s="10">
        <f t="shared" si="5"/>
        <v>381.87233639368469</v>
      </c>
      <c r="S42" s="10">
        <f t="shared" si="12"/>
        <v>215.28</v>
      </c>
      <c r="T42" s="70">
        <f t="shared" si="6"/>
        <v>597.15233639368466</v>
      </c>
      <c r="V42" s="42">
        <f t="shared" si="7"/>
        <v>673.89235834179647</v>
      </c>
      <c r="W42" s="10">
        <f t="shared" si="8"/>
        <v>379.44</v>
      </c>
      <c r="X42" s="74">
        <f t="shared" si="9"/>
        <v>1053.3323583417964</v>
      </c>
      <c r="Z42" s="42">
        <f t="shared" si="10"/>
        <v>840.1191400661063</v>
      </c>
      <c r="AA42" s="10">
        <f t="shared" si="11"/>
        <v>473.04</v>
      </c>
      <c r="AB42" s="74">
        <f t="shared" si="13"/>
        <v>1313.1591400661064</v>
      </c>
    </row>
    <row r="43" spans="1:28" x14ac:dyDescent="0.25">
      <c r="A43">
        <v>2024</v>
      </c>
      <c r="B43" s="2">
        <v>2</v>
      </c>
      <c r="E43" s="3">
        <v>400000</v>
      </c>
      <c r="G43" s="20">
        <f>SUM(D43:F43)</f>
        <v>400000</v>
      </c>
      <c r="K43" s="3">
        <f t="shared" si="16"/>
        <v>606488.39999999979</v>
      </c>
      <c r="M43" s="3">
        <f t="shared" si="2"/>
        <v>26868.240000000002</v>
      </c>
      <c r="N43" s="3">
        <f t="shared" si="3"/>
        <v>32109.411764705881</v>
      </c>
      <c r="O43" s="10">
        <f t="shared" si="15"/>
        <v>63639.309143445134</v>
      </c>
      <c r="P43" s="10">
        <f t="shared" si="4"/>
        <v>122616.96090815101</v>
      </c>
      <c r="Q43" s="10"/>
      <c r="R43" s="10">
        <f t="shared" si="5"/>
        <v>381.87233639368469</v>
      </c>
      <c r="S43" s="10">
        <f t="shared" si="12"/>
        <v>215.28</v>
      </c>
      <c r="T43" s="70">
        <f t="shared" si="6"/>
        <v>597.15233639368466</v>
      </c>
      <c r="V43" s="42">
        <f t="shared" si="7"/>
        <v>673.89235834179647</v>
      </c>
      <c r="W43" s="10">
        <f t="shared" si="8"/>
        <v>379.44</v>
      </c>
      <c r="X43" s="74">
        <f t="shared" si="9"/>
        <v>1053.3323583417964</v>
      </c>
      <c r="Z43" s="42">
        <f t="shared" si="10"/>
        <v>840.1191400661063</v>
      </c>
      <c r="AA43" s="10">
        <f t="shared" si="11"/>
        <v>473.04</v>
      </c>
      <c r="AB43" s="74">
        <f t="shared" si="13"/>
        <v>1313.1591400661064</v>
      </c>
    </row>
    <row r="44" spans="1:28" x14ac:dyDescent="0.25">
      <c r="A44">
        <v>2024</v>
      </c>
      <c r="B44" s="2">
        <v>3</v>
      </c>
      <c r="C44" s="2" t="s">
        <v>21</v>
      </c>
      <c r="D44" s="3">
        <v>80000</v>
      </c>
      <c r="G44" s="20">
        <f>SUM(D44:F44)</f>
        <v>80000</v>
      </c>
      <c r="K44" s="3">
        <f t="shared" si="16"/>
        <v>585466.05176470568</v>
      </c>
      <c r="M44" s="3">
        <f t="shared" si="2"/>
        <v>26868.240000000002</v>
      </c>
      <c r="N44" s="3">
        <f t="shared" si="3"/>
        <v>32109.411764705881</v>
      </c>
      <c r="O44" s="10">
        <f t="shared" si="15"/>
        <v>63639.309143445134</v>
      </c>
      <c r="P44" s="10">
        <f t="shared" si="4"/>
        <v>122616.96090815101</v>
      </c>
      <c r="Q44" s="10"/>
      <c r="R44" s="10">
        <f t="shared" si="5"/>
        <v>381.87233639368469</v>
      </c>
      <c r="S44" s="10">
        <f t="shared" si="12"/>
        <v>215.28</v>
      </c>
      <c r="T44" s="70">
        <f t="shared" si="6"/>
        <v>597.15233639368466</v>
      </c>
      <c r="V44" s="42">
        <f t="shared" si="7"/>
        <v>673.89235834179647</v>
      </c>
      <c r="W44" s="10">
        <f t="shared" si="8"/>
        <v>379.44</v>
      </c>
      <c r="X44" s="74">
        <f t="shared" si="9"/>
        <v>1053.3323583417964</v>
      </c>
      <c r="Z44" s="42">
        <f t="shared" si="10"/>
        <v>840.1191400661063</v>
      </c>
      <c r="AA44" s="10">
        <f t="shared" si="11"/>
        <v>473.04</v>
      </c>
      <c r="AB44" s="74">
        <f t="shared" si="13"/>
        <v>1313.1591400661064</v>
      </c>
    </row>
    <row r="45" spans="1:28" x14ac:dyDescent="0.25">
      <c r="A45">
        <v>2024</v>
      </c>
      <c r="B45" s="2">
        <v>4</v>
      </c>
      <c r="D45" s="6"/>
      <c r="E45" s="6">
        <v>400000</v>
      </c>
      <c r="F45" s="21"/>
      <c r="G45" s="11">
        <f>SUM(D45:F45)</f>
        <v>400000</v>
      </c>
      <c r="H45" s="6"/>
      <c r="I45" s="21"/>
      <c r="K45" s="3">
        <f t="shared" si="16"/>
        <v>244443.70352941158</v>
      </c>
      <c r="M45" s="6">
        <f t="shared" si="2"/>
        <v>26868.240000000002</v>
      </c>
      <c r="N45" s="6">
        <f t="shared" si="3"/>
        <v>32109.411764705881</v>
      </c>
      <c r="O45" s="11">
        <f t="shared" si="15"/>
        <v>63639.309143445134</v>
      </c>
      <c r="P45" s="11">
        <f t="shared" si="4"/>
        <v>122616.96090815101</v>
      </c>
      <c r="Q45" s="11"/>
      <c r="R45" s="11">
        <f t="shared" si="5"/>
        <v>381.87233639368469</v>
      </c>
      <c r="S45" s="11">
        <f t="shared" si="12"/>
        <v>215.28</v>
      </c>
      <c r="T45" s="71">
        <f t="shared" si="6"/>
        <v>597.15233639368466</v>
      </c>
      <c r="V45" s="43">
        <f t="shared" si="7"/>
        <v>673.89235834179647</v>
      </c>
      <c r="W45" s="11">
        <f t="shared" si="8"/>
        <v>379.44</v>
      </c>
      <c r="X45" s="75">
        <f t="shared" si="9"/>
        <v>1053.3323583417964</v>
      </c>
      <c r="Z45" s="43">
        <f t="shared" si="10"/>
        <v>840.1191400661063</v>
      </c>
      <c r="AA45" s="11">
        <f t="shared" si="11"/>
        <v>473.04</v>
      </c>
      <c r="AB45" s="75">
        <f t="shared" si="13"/>
        <v>1313.1591400661064</v>
      </c>
    </row>
    <row r="46" spans="1:28" x14ac:dyDescent="0.25">
      <c r="A46" s="59" t="s">
        <v>23</v>
      </c>
      <c r="D46" s="3">
        <f>SUM(D8:D45)</f>
        <v>792000</v>
      </c>
      <c r="E46" s="3">
        <f>SUM(E8:E45)</f>
        <v>3400000</v>
      </c>
      <c r="F46" s="3">
        <f>SUM(F8:F45)</f>
        <v>185000</v>
      </c>
      <c r="G46" s="3">
        <f>SUM(G8:G45)</f>
        <v>4377000</v>
      </c>
      <c r="H46" s="77">
        <f t="shared" ref="H46:I46" si="17">SUM(H8:H45)</f>
        <v>2000000</v>
      </c>
      <c r="I46" s="3">
        <f t="shared" si="17"/>
        <v>0</v>
      </c>
      <c r="M46" s="3">
        <f>SUM(M9:M45)</f>
        <v>994124.87999999977</v>
      </c>
      <c r="N46" s="3">
        <f>SUM(N9:N45)</f>
        <v>1155938.8235294118</v>
      </c>
      <c r="O46" s="3">
        <f>SUM(O9:O45)</f>
        <v>1909179.2743033548</v>
      </c>
      <c r="P46" s="3">
        <f>SUM(P9:P45)</f>
        <v>4059242.977832769</v>
      </c>
      <c r="Q46" s="3"/>
      <c r="R46" s="3">
        <f t="shared" ref="R46:T46" si="18">SUM(R9:R45)</f>
        <v>12641.952979730509</v>
      </c>
      <c r="S46" s="3">
        <f t="shared" si="18"/>
        <v>7965.3599999999979</v>
      </c>
      <c r="T46" s="72">
        <f t="shared" si="18"/>
        <v>20607.312979730512</v>
      </c>
      <c r="V46" s="3">
        <f t="shared" ref="V46:AB46" si="19">SUM(V9:V45)</f>
        <v>22309.147611289151</v>
      </c>
      <c r="W46" s="3">
        <f t="shared" si="19"/>
        <v>14039.280000000004</v>
      </c>
      <c r="X46" s="72">
        <f t="shared" si="19"/>
        <v>36348.427611289131</v>
      </c>
      <c r="Z46" s="3">
        <f t="shared" si="19"/>
        <v>27812.072555407121</v>
      </c>
      <c r="AA46" s="3">
        <f t="shared" si="19"/>
        <v>17502.480000000018</v>
      </c>
      <c r="AB46" s="72">
        <f t="shared" si="19"/>
        <v>45314.552555407121</v>
      </c>
    </row>
    <row r="47" spans="1:28" x14ac:dyDescent="0.25">
      <c r="E47" s="3">
        <f>E46+D46</f>
        <v>4192000</v>
      </c>
      <c r="T47" s="73"/>
      <c r="X47" s="73"/>
      <c r="AB47" s="73"/>
    </row>
    <row r="48" spans="1:28" x14ac:dyDescent="0.25">
      <c r="A48">
        <v>2025</v>
      </c>
      <c r="M48" s="3">
        <f>$G$77*4</f>
        <v>142017.84</v>
      </c>
      <c r="O48" s="10">
        <f>$F$61*4</f>
        <v>254557.23657378054</v>
      </c>
      <c r="P48" s="10">
        <f t="shared" ref="P48:P50" si="20">SUM(M48:O48)</f>
        <v>396575.0765737805</v>
      </c>
      <c r="Q48" s="10"/>
      <c r="R48" s="10">
        <f>$H$66*P48</f>
        <v>1235.0742501290201</v>
      </c>
      <c r="S48" s="10">
        <f>($H$73+$E$73)*4</f>
        <v>861.12</v>
      </c>
      <c r="T48" s="70">
        <f t="shared" ref="T48:T50" si="21">SUM(R48:S48)</f>
        <v>2096.19425012902</v>
      </c>
      <c r="V48" s="42">
        <f>$H$67*P48</f>
        <v>2179.5427943453296</v>
      </c>
      <c r="W48" s="10">
        <f>($H$74+$E$74)*4</f>
        <v>1517.76</v>
      </c>
      <c r="X48" s="74">
        <f t="shared" ref="X48:X50" si="22">SUM(V48:W48)</f>
        <v>3697.3027943453299</v>
      </c>
      <c r="Z48" s="42">
        <f>$H$68*P48</f>
        <v>2717.163350283844</v>
      </c>
      <c r="AA48" s="10">
        <f>($H$75+$E$75)*4</f>
        <v>1892.16</v>
      </c>
      <c r="AB48" s="74">
        <f t="shared" ref="AB48:AB50" si="23">SUM(Z48:AA48)</f>
        <v>4609.3233502838439</v>
      </c>
    </row>
    <row r="49" spans="1:28" x14ac:dyDescent="0.25">
      <c r="A49">
        <v>2026</v>
      </c>
      <c r="M49" s="3">
        <f>$G$77*4</f>
        <v>142017.84</v>
      </c>
      <c r="O49" s="10">
        <f>$F$61*4</f>
        <v>254557.23657378054</v>
      </c>
      <c r="P49" s="10">
        <f t="shared" si="20"/>
        <v>396575.0765737805</v>
      </c>
      <c r="Q49" s="10"/>
      <c r="R49" s="10">
        <f>$H$66*P49</f>
        <v>1235.0742501290201</v>
      </c>
      <c r="S49" s="10">
        <f>($H$73+$E$73)*4</f>
        <v>861.12</v>
      </c>
      <c r="T49" s="70">
        <f t="shared" si="21"/>
        <v>2096.19425012902</v>
      </c>
      <c r="V49" s="42">
        <f>$H$67*P49</f>
        <v>2179.5427943453296</v>
      </c>
      <c r="W49" s="10">
        <f>($H$74+$E$74)*4</f>
        <v>1517.76</v>
      </c>
      <c r="X49" s="74">
        <f t="shared" si="22"/>
        <v>3697.3027943453299</v>
      </c>
      <c r="Z49" s="42">
        <f>$H$68*P49</f>
        <v>2717.163350283844</v>
      </c>
      <c r="AA49" s="10">
        <f>($H$75+$E$75)*4</f>
        <v>1892.16</v>
      </c>
      <c r="AB49" s="74">
        <f t="shared" si="23"/>
        <v>4609.3233502838439</v>
      </c>
    </row>
    <row r="50" spans="1:28" x14ac:dyDescent="0.25">
      <c r="A50">
        <v>2027</v>
      </c>
      <c r="K50" s="3" t="s">
        <v>43</v>
      </c>
      <c r="M50" s="3">
        <f>$G$77*2</f>
        <v>71008.92</v>
      </c>
      <c r="O50" s="10">
        <f>$F$61*2</f>
        <v>127278.61828689027</v>
      </c>
      <c r="P50" s="10">
        <f t="shared" si="20"/>
        <v>198287.53828689025</v>
      </c>
      <c r="Q50" s="10"/>
      <c r="R50" s="10">
        <f>$H$66*P50</f>
        <v>617.53712506451006</v>
      </c>
      <c r="S50" s="10">
        <f>($H$73+$E$73)*4</f>
        <v>861.12</v>
      </c>
      <c r="T50" s="70">
        <f t="shared" si="21"/>
        <v>1478.6571250645102</v>
      </c>
      <c r="V50" s="42">
        <f>$H$67*P50</f>
        <v>1089.7713971726648</v>
      </c>
      <c r="W50" s="10">
        <f>($H$74+$E$74)*4</f>
        <v>1517.76</v>
      </c>
      <c r="X50" s="74">
        <f t="shared" si="22"/>
        <v>2607.5313971726646</v>
      </c>
      <c r="Z50" s="42">
        <f>$H$68*P50</f>
        <v>1358.581675141922</v>
      </c>
      <c r="AA50" s="10">
        <f>($H$75+$E$75)*4</f>
        <v>1892.16</v>
      </c>
      <c r="AB50" s="74">
        <f t="shared" si="23"/>
        <v>3250.7416751419223</v>
      </c>
    </row>
    <row r="51" spans="1:28" x14ac:dyDescent="0.25">
      <c r="M51" s="6"/>
      <c r="N51" s="8"/>
      <c r="O51" s="11"/>
      <c r="P51" s="11"/>
      <c r="Q51" s="20"/>
      <c r="R51" s="11"/>
      <c r="S51" s="11"/>
      <c r="T51" s="71"/>
      <c r="V51" s="43"/>
      <c r="W51" s="11"/>
      <c r="X51" s="75"/>
      <c r="Z51" s="43"/>
      <c r="AA51" s="11"/>
      <c r="AB51" s="75"/>
    </row>
    <row r="52" spans="1:28" x14ac:dyDescent="0.25">
      <c r="M52" s="3">
        <f>SUM(M46:M51)</f>
        <v>1349169.4799999997</v>
      </c>
      <c r="N52" s="8"/>
      <c r="O52" s="3">
        <f>SUM(O46:O51)</f>
        <v>2545572.3657378061</v>
      </c>
      <c r="P52" s="3">
        <f>SUM(P46:P51)</f>
        <v>5050680.6692672204</v>
      </c>
      <c r="Q52" s="3"/>
      <c r="R52" s="3">
        <f>SUM(R46:R51)</f>
        <v>15729.63860505306</v>
      </c>
      <c r="S52" s="3">
        <f>SUM(S46:S51)</f>
        <v>10548.72</v>
      </c>
      <c r="T52" s="72">
        <f>SUM(T46:T51)</f>
        <v>26278.358605053065</v>
      </c>
      <c r="V52" s="3">
        <f>SUM(V46:V51)</f>
        <v>27758.004597152474</v>
      </c>
      <c r="W52" s="3">
        <f>SUM(W46:W51)</f>
        <v>18592.560000000001</v>
      </c>
      <c r="X52" s="72">
        <f>SUM(X46:X51)</f>
        <v>46350.56459715245</v>
      </c>
      <c r="Z52" s="3">
        <f>SUM(Z46:Z51)</f>
        <v>34604.980931116726</v>
      </c>
      <c r="AA52" s="3">
        <f>SUM(AA46:AA51)</f>
        <v>23178.960000000017</v>
      </c>
      <c r="AB52" s="72">
        <f>SUM(AB46:AB51)</f>
        <v>57783.940931116726</v>
      </c>
    </row>
    <row r="53" spans="1:28" x14ac:dyDescent="0.25">
      <c r="N53" s="8"/>
      <c r="O53" s="3"/>
      <c r="P53" s="3"/>
      <c r="Q53" s="3"/>
      <c r="R53" s="3"/>
      <c r="S53" s="3"/>
      <c r="T53" s="72"/>
      <c r="V53" s="3"/>
      <c r="W53" s="3"/>
      <c r="X53" s="72"/>
      <c r="Z53" s="3"/>
      <c r="AA53" s="3"/>
      <c r="AB53" s="72"/>
    </row>
    <row r="54" spans="1:28" x14ac:dyDescent="0.25">
      <c r="N54" s="8"/>
      <c r="O54" s="3"/>
      <c r="P54" s="3"/>
      <c r="Q54" s="3"/>
      <c r="R54" s="3"/>
      <c r="S54" s="3"/>
      <c r="T54" s="3"/>
    </row>
    <row r="56" spans="1:28" x14ac:dyDescent="0.25">
      <c r="C56" s="12" t="s">
        <v>35</v>
      </c>
      <c r="D56" s="13"/>
      <c r="E56" s="13"/>
      <c r="F56" s="46">
        <v>2000000</v>
      </c>
      <c r="G56" s="23"/>
    </row>
    <row r="57" spans="1:28" x14ac:dyDescent="0.25">
      <c r="C57" s="14" t="s">
        <v>39</v>
      </c>
      <c r="D57" s="8"/>
      <c r="E57" s="8"/>
      <c r="F57" s="45">
        <v>0.05</v>
      </c>
      <c r="G57" s="24"/>
    </row>
    <row r="58" spans="1:28" x14ac:dyDescent="0.25">
      <c r="C58" s="14" t="s">
        <v>37</v>
      </c>
      <c r="D58" s="8"/>
      <c r="E58" s="8"/>
      <c r="F58" s="44">
        <v>10</v>
      </c>
      <c r="G58" s="23"/>
    </row>
    <row r="59" spans="1:28" x14ac:dyDescent="0.25">
      <c r="C59" s="14" t="s">
        <v>38</v>
      </c>
      <c r="D59" s="8"/>
      <c r="E59" s="8"/>
      <c r="F59" s="16">
        <v>5</v>
      </c>
      <c r="G59" s="23"/>
    </row>
    <row r="60" spans="1:28" x14ac:dyDescent="0.25">
      <c r="C60" s="14" t="s">
        <v>42</v>
      </c>
      <c r="D60" s="8"/>
      <c r="E60" s="8"/>
      <c r="F60" s="18">
        <f>PMT(F57/12,F58*12,F56,0)*-1</f>
        <v>21213.103047815046</v>
      </c>
      <c r="G60" s="25"/>
      <c r="R60" s="3"/>
    </row>
    <row r="61" spans="1:28" x14ac:dyDescent="0.25">
      <c r="C61" s="14" t="s">
        <v>47</v>
      </c>
      <c r="D61" s="8"/>
      <c r="E61" s="8"/>
      <c r="F61" s="18">
        <f>F60*3</f>
        <v>63639.309143445134</v>
      </c>
      <c r="G61" s="25"/>
      <c r="M61" s="8"/>
    </row>
    <row r="62" spans="1:28" x14ac:dyDescent="0.25">
      <c r="C62" s="17" t="s">
        <v>36</v>
      </c>
      <c r="D62" s="6"/>
      <c r="E62" s="6"/>
      <c r="F62" s="27">
        <f>FV(F57/12,F59*12,F60*-1,F56)*-1</f>
        <v>1124097.313825971</v>
      </c>
      <c r="G62" s="26"/>
    </row>
    <row r="63" spans="1:28" x14ac:dyDescent="0.25">
      <c r="M63" s="59"/>
      <c r="N63" s="59"/>
      <c r="O63" s="49"/>
      <c r="P63" s="60"/>
      <c r="R63" s="10"/>
    </row>
    <row r="64" spans="1:28" x14ac:dyDescent="0.25">
      <c r="C64" s="28"/>
      <c r="D64" s="29"/>
      <c r="E64" s="29"/>
      <c r="F64" s="30"/>
      <c r="G64" s="30" t="s">
        <v>26</v>
      </c>
      <c r="H64" s="30" t="s">
        <v>31</v>
      </c>
      <c r="I64" s="117" t="s">
        <v>34</v>
      </c>
      <c r="J64" s="118"/>
      <c r="K64" s="119" t="s">
        <v>33</v>
      </c>
      <c r="M64" s="8"/>
      <c r="N64" s="47"/>
      <c r="O64" s="48"/>
      <c r="P64" s="48"/>
      <c r="Q64" s="49"/>
      <c r="R64" s="47"/>
      <c r="S64" s="48"/>
      <c r="T64" s="48"/>
    </row>
    <row r="65" spans="3:20" x14ac:dyDescent="0.25">
      <c r="C65" s="31" t="s">
        <v>25</v>
      </c>
      <c r="D65" s="19" t="s">
        <v>26</v>
      </c>
      <c r="E65" s="19" t="s">
        <v>27</v>
      </c>
      <c r="F65" s="19" t="s">
        <v>28</v>
      </c>
      <c r="G65" s="19" t="s">
        <v>29</v>
      </c>
      <c r="H65" s="19" t="s">
        <v>30</v>
      </c>
      <c r="I65" s="120" t="s">
        <v>33</v>
      </c>
      <c r="J65" s="121"/>
      <c r="K65" s="122" t="s">
        <v>72</v>
      </c>
      <c r="M65" s="19"/>
      <c r="N65" s="39"/>
      <c r="O65" s="40"/>
    </row>
    <row r="66" spans="3:20" x14ac:dyDescent="0.25">
      <c r="C66" s="76">
        <v>40</v>
      </c>
      <c r="D66" s="8">
        <v>680</v>
      </c>
      <c r="E66" s="8">
        <v>187</v>
      </c>
      <c r="F66" s="20">
        <f>E66*D66</f>
        <v>127160</v>
      </c>
      <c r="G66" s="33">
        <f>F66/F69</f>
        <v>0.58238376140402304</v>
      </c>
      <c r="H66" s="35">
        <f>G66/E66</f>
        <v>3.1143516652621553E-3</v>
      </c>
      <c r="I66" s="123">
        <f>F56*H66</f>
        <v>6228.7033305243103</v>
      </c>
      <c r="J66" s="121"/>
      <c r="K66" s="124">
        <f>($F$60*12*$F$58)*H66</f>
        <v>7927.8075362808577</v>
      </c>
      <c r="M66" s="50"/>
      <c r="N66" s="51"/>
      <c r="O66" s="51"/>
      <c r="P66" s="58"/>
      <c r="Q66" s="9"/>
      <c r="R66" s="51"/>
      <c r="S66" s="51"/>
      <c r="T66" s="51"/>
    </row>
    <row r="67" spans="3:20" x14ac:dyDescent="0.25">
      <c r="C67" s="76">
        <v>60</v>
      </c>
      <c r="D67" s="8">
        <v>1200</v>
      </c>
      <c r="E67" s="8">
        <v>71</v>
      </c>
      <c r="F67" s="20">
        <f t="shared" ref="F67:F68" si="24">E67*D67</f>
        <v>85200</v>
      </c>
      <c r="G67" s="33">
        <f>F67/F69</f>
        <v>0.39020994394167002</v>
      </c>
      <c r="H67" s="35">
        <f>G67/E67</f>
        <v>5.4959147034038033E-3</v>
      </c>
      <c r="I67" s="123">
        <f>F56*H67</f>
        <v>10991.829406807607</v>
      </c>
      <c r="J67" s="121"/>
      <c r="K67" s="124">
        <f t="shared" ref="K67:K68" si="25">($F$60*12*$F$58)*H67</f>
        <v>13990.248593436807</v>
      </c>
      <c r="M67" s="50"/>
      <c r="N67" s="51"/>
      <c r="O67" s="51"/>
      <c r="P67" s="58"/>
      <c r="Q67" s="9"/>
      <c r="R67" s="51"/>
      <c r="S67" s="51"/>
      <c r="T67" s="51"/>
    </row>
    <row r="68" spans="3:20" x14ac:dyDescent="0.25">
      <c r="C68" s="76">
        <v>88</v>
      </c>
      <c r="D68" s="8">
        <v>1496</v>
      </c>
      <c r="E68" s="8">
        <v>4</v>
      </c>
      <c r="F68" s="20">
        <f t="shared" si="24"/>
        <v>5984</v>
      </c>
      <c r="G68" s="33">
        <f>F68/F69</f>
        <v>2.7406294654306964E-2</v>
      </c>
      <c r="H68" s="35">
        <f>G68/E68</f>
        <v>6.851573663576741E-3</v>
      </c>
      <c r="I68" s="123">
        <f>F56*H68</f>
        <v>13703.147327153481</v>
      </c>
      <c r="J68" s="121"/>
      <c r="K68" s="124">
        <f t="shared" si="25"/>
        <v>17441.176579817886</v>
      </c>
      <c r="M68" s="50"/>
      <c r="N68" s="52"/>
      <c r="O68" s="51"/>
      <c r="P68" s="52"/>
      <c r="Q68" s="9"/>
      <c r="R68" s="52"/>
      <c r="S68" s="52"/>
      <c r="T68" s="52"/>
    </row>
    <row r="69" spans="3:20" x14ac:dyDescent="0.25">
      <c r="C69" s="34"/>
      <c r="D69" s="6"/>
      <c r="E69" s="6"/>
      <c r="F69" s="6">
        <f>SUM(F66:F68)</f>
        <v>218344</v>
      </c>
      <c r="G69" s="21"/>
      <c r="H69" s="21"/>
      <c r="I69" s="125"/>
      <c r="J69" s="125"/>
      <c r="K69" s="126"/>
      <c r="M69" s="41"/>
      <c r="N69" s="37"/>
      <c r="O69" s="41"/>
    </row>
    <row r="70" spans="3:20" ht="15.75" thickBot="1" x14ac:dyDescent="0.3">
      <c r="M70" s="41"/>
      <c r="N70" s="37"/>
      <c r="O70" s="41"/>
    </row>
    <row r="71" spans="3:20" ht="15.75" thickBot="1" x14ac:dyDescent="0.3">
      <c r="C71" s="106" t="s">
        <v>58</v>
      </c>
      <c r="D71" s="65">
        <v>2015</v>
      </c>
      <c r="E71" s="54" t="s">
        <v>61</v>
      </c>
      <c r="F71" s="55" t="s">
        <v>4</v>
      </c>
      <c r="G71" s="55" t="s">
        <v>62</v>
      </c>
      <c r="H71" s="55">
        <v>2015</v>
      </c>
      <c r="I71" s="55" t="s">
        <v>64</v>
      </c>
      <c r="J71" s="84"/>
      <c r="K71" s="54" t="s">
        <v>63</v>
      </c>
      <c r="L71" s="84"/>
      <c r="M71" s="111" t="s">
        <v>102</v>
      </c>
      <c r="N71" s="127" t="s">
        <v>103</v>
      </c>
      <c r="O71" s="112" t="s">
        <v>104</v>
      </c>
    </row>
    <row r="72" spans="3:20" x14ac:dyDescent="0.25">
      <c r="C72" s="31" t="s">
        <v>25</v>
      </c>
      <c r="D72" s="66" t="s">
        <v>49</v>
      </c>
      <c r="E72" s="56" t="s">
        <v>3</v>
      </c>
      <c r="F72" s="83" t="s">
        <v>3</v>
      </c>
      <c r="G72" s="56" t="s">
        <v>3</v>
      </c>
      <c r="H72" s="56" t="s">
        <v>56</v>
      </c>
      <c r="I72" s="53" t="s">
        <v>55</v>
      </c>
      <c r="J72" s="15"/>
      <c r="K72" s="56" t="s">
        <v>3</v>
      </c>
      <c r="L72" s="15"/>
      <c r="M72" s="129" t="s">
        <v>49</v>
      </c>
      <c r="N72" s="129" t="s">
        <v>67</v>
      </c>
      <c r="O72" s="122" t="s">
        <v>67</v>
      </c>
    </row>
    <row r="73" spans="3:20" x14ac:dyDescent="0.25">
      <c r="C73" s="32">
        <v>40</v>
      </c>
      <c r="D73" s="62">
        <v>299</v>
      </c>
      <c r="E73" s="8">
        <f>D73*$E$76</f>
        <v>26.91</v>
      </c>
      <c r="F73" s="20">
        <f>D73*$F$76</f>
        <v>83.720000000000013</v>
      </c>
      <c r="G73" s="8">
        <f>D73*$G$76</f>
        <v>110.63</v>
      </c>
      <c r="H73" s="8">
        <f>D73*$H$76</f>
        <v>188.37</v>
      </c>
      <c r="I73" s="8">
        <v>100</v>
      </c>
      <c r="J73" s="15"/>
      <c r="K73" s="79">
        <f>I73+F73</f>
        <v>183.72000000000003</v>
      </c>
      <c r="L73" s="15"/>
      <c r="M73" s="123">
        <f>D73+I73</f>
        <v>399</v>
      </c>
      <c r="N73" s="123">
        <f>T45</f>
        <v>597.15233639368466</v>
      </c>
      <c r="O73" s="130">
        <f>T48/4</f>
        <v>524.048562532255</v>
      </c>
    </row>
    <row r="74" spans="3:20" x14ac:dyDescent="0.25">
      <c r="C74" s="32">
        <v>60</v>
      </c>
      <c r="D74" s="62">
        <v>527</v>
      </c>
      <c r="E74" s="8">
        <f>D74*$E$76</f>
        <v>47.43</v>
      </c>
      <c r="F74" s="20">
        <f>D74*$F$76</f>
        <v>147.56</v>
      </c>
      <c r="G74" s="8">
        <f>D74*$G$76</f>
        <v>194.99</v>
      </c>
      <c r="H74" s="8">
        <f>D74*$H$76</f>
        <v>332.01</v>
      </c>
      <c r="I74" s="8">
        <f>D67*100/D66</f>
        <v>176.47058823529412</v>
      </c>
      <c r="J74" s="15"/>
      <c r="K74" s="79">
        <f>I74+F74</f>
        <v>324.03058823529409</v>
      </c>
      <c r="L74" s="15"/>
      <c r="M74" s="123">
        <f t="shared" ref="M74:M75" si="26">D74+I74</f>
        <v>703.47058823529414</v>
      </c>
      <c r="N74" s="123">
        <f>X45</f>
        <v>1053.3323583417964</v>
      </c>
      <c r="O74" s="130">
        <f>X48/4</f>
        <v>924.32569858633246</v>
      </c>
    </row>
    <row r="75" spans="3:20" x14ac:dyDescent="0.25">
      <c r="C75" s="32">
        <v>88</v>
      </c>
      <c r="D75" s="62">
        <v>657</v>
      </c>
      <c r="E75" s="8">
        <f>D75*$E$76</f>
        <v>59.129999999999995</v>
      </c>
      <c r="F75" s="20">
        <f>D75*$F$76</f>
        <v>183.96</v>
      </c>
      <c r="G75" s="8">
        <f>D75*$G$76</f>
        <v>243.09</v>
      </c>
      <c r="H75" s="8">
        <f>D75*$H$76</f>
        <v>413.91</v>
      </c>
      <c r="I75" s="8">
        <f>D68*100/D66</f>
        <v>220</v>
      </c>
      <c r="J75" s="15"/>
      <c r="K75" s="79">
        <f>I75+F75</f>
        <v>403.96000000000004</v>
      </c>
      <c r="L75" s="15"/>
      <c r="M75" s="123">
        <f t="shared" si="26"/>
        <v>877</v>
      </c>
      <c r="N75" s="123">
        <f>AB45</f>
        <v>1313.1591400661064</v>
      </c>
      <c r="O75" s="130">
        <f>AB48/4</f>
        <v>1152.330837570961</v>
      </c>
    </row>
    <row r="76" spans="3:20" x14ac:dyDescent="0.25">
      <c r="C76" s="57"/>
      <c r="D76" s="80">
        <v>1</v>
      </c>
      <c r="E76" s="81">
        <v>0.09</v>
      </c>
      <c r="F76" s="81">
        <v>0.28000000000000003</v>
      </c>
      <c r="G76" s="78">
        <v>0.37</v>
      </c>
      <c r="H76" s="81">
        <v>0.63</v>
      </c>
      <c r="I76" s="15"/>
      <c r="J76" s="15"/>
      <c r="K76" s="8"/>
      <c r="L76" s="15"/>
      <c r="M76" s="132"/>
      <c r="N76" s="23"/>
      <c r="O76" s="133"/>
    </row>
    <row r="77" spans="3:20" x14ac:dyDescent="0.25">
      <c r="C77" s="61" t="s">
        <v>57</v>
      </c>
      <c r="D77" s="6">
        <f t="shared" ref="D77:I77" si="27">(D73*$E$66)+(D74*$E$67)+(D75*$E$68)</f>
        <v>95958</v>
      </c>
      <c r="E77" s="6">
        <f t="shared" si="27"/>
        <v>8636.2200000000012</v>
      </c>
      <c r="F77" s="6">
        <f t="shared" si="27"/>
        <v>26868.240000000002</v>
      </c>
      <c r="G77" s="6">
        <f t="shared" si="27"/>
        <v>35504.46</v>
      </c>
      <c r="H77" s="6">
        <f t="shared" si="27"/>
        <v>60453.54</v>
      </c>
      <c r="I77" s="6">
        <f t="shared" si="27"/>
        <v>32109.411764705881</v>
      </c>
      <c r="J77" s="21"/>
      <c r="K77" s="6">
        <f>(K73*$E$66)+(K74*$E$67)+(K75*$E$68)</f>
        <v>58977.651764705879</v>
      </c>
      <c r="L77" s="21"/>
      <c r="M77" s="100">
        <f>(M73*$E$66)+(M74*$E$67)+(M75*$E$68)</f>
        <v>128067.41176470587</v>
      </c>
      <c r="N77" s="100">
        <f>(N73*$E$66)+(N74*$E$67)+(N75*$E$68)</f>
        <v>191706.72090815101</v>
      </c>
      <c r="O77" s="101">
        <f>(O73*$E$66)+(O74*$E$67)+(O75*$E$68)</f>
        <v>168233.52914344514</v>
      </c>
    </row>
  </sheetData>
  <pageMargins left="0.25" right="0.25" top="0.75" bottom="0.75" header="0.3" footer="0.3"/>
  <pageSetup scale="5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9"/>
  <sheetViews>
    <sheetView tabSelected="1" topLeftCell="A7" workbookViewId="0">
      <selection activeCell="A26" sqref="A26:XFD26"/>
    </sheetView>
  </sheetViews>
  <sheetFormatPr defaultRowHeight="15" x14ac:dyDescent="0.25"/>
  <cols>
    <col min="1" max="1" width="4.85546875" customWidth="1"/>
    <col min="2" max="2" width="14.140625" customWidth="1"/>
    <col min="3" max="3" width="1.42578125" customWidth="1"/>
    <col min="4" max="4" width="9.85546875" customWidth="1"/>
    <col min="5" max="5" width="10.28515625" customWidth="1"/>
    <col min="6" max="6" width="11.5703125" customWidth="1"/>
    <col min="7" max="7" width="10.5703125" customWidth="1"/>
    <col min="10" max="10" width="10.5703125" customWidth="1"/>
    <col min="11" max="11" width="0.85546875" customWidth="1"/>
    <col min="12" max="12" width="10.85546875" customWidth="1"/>
    <col min="13" max="13" width="1.28515625" customWidth="1"/>
    <col min="14" max="14" width="10.5703125" bestFit="1" customWidth="1"/>
    <col min="15" max="15" width="13.28515625" bestFit="1" customWidth="1"/>
    <col min="16" max="16" width="2.42578125" customWidth="1"/>
    <col min="17" max="17" width="10.5703125" bestFit="1" customWidth="1"/>
    <col min="18" max="18" width="11.42578125" customWidth="1"/>
  </cols>
  <sheetData>
    <row r="1" spans="2:18" ht="18.75" x14ac:dyDescent="0.3">
      <c r="B1" s="86" t="s">
        <v>148</v>
      </c>
      <c r="L1" s="134">
        <v>42505</v>
      </c>
      <c r="O1" s="10"/>
      <c r="Q1" s="9"/>
    </row>
    <row r="3" spans="2:18" x14ac:dyDescent="0.25">
      <c r="B3" s="49" t="s">
        <v>144</v>
      </c>
      <c r="G3" s="49" t="s">
        <v>160</v>
      </c>
    </row>
    <row r="4" spans="2:18" x14ac:dyDescent="0.25">
      <c r="B4" s="164" t="s">
        <v>126</v>
      </c>
      <c r="C4" s="84"/>
      <c r="D4" s="84"/>
      <c r="E4" s="165">
        <f>'Plan A'!E47-960000</f>
        <v>3232000</v>
      </c>
      <c r="G4" s="164">
        <v>2016</v>
      </c>
      <c r="H4" s="84"/>
      <c r="I4" s="84" t="s">
        <v>153</v>
      </c>
      <c r="J4" s="163"/>
    </row>
    <row r="5" spans="2:18" x14ac:dyDescent="0.25">
      <c r="B5" s="107" t="s">
        <v>128</v>
      </c>
      <c r="C5" s="15"/>
      <c r="D5" s="15"/>
      <c r="E5" s="27">
        <v>960000</v>
      </c>
      <c r="G5" s="107">
        <v>2017</v>
      </c>
      <c r="H5" s="15"/>
      <c r="I5" s="15" t="s">
        <v>154</v>
      </c>
      <c r="J5" s="85"/>
    </row>
    <row r="6" spans="2:18" x14ac:dyDescent="0.25">
      <c r="B6" s="107"/>
      <c r="C6" s="15"/>
      <c r="D6" s="15"/>
      <c r="E6" s="16">
        <f>SUM(E4:E5)</f>
        <v>4192000</v>
      </c>
      <c r="G6" s="107">
        <v>2018</v>
      </c>
      <c r="H6" s="15"/>
      <c r="I6" s="15" t="s">
        <v>155</v>
      </c>
      <c r="J6" s="85"/>
    </row>
    <row r="7" spans="2:18" ht="15.75" thickBot="1" x14ac:dyDescent="0.3">
      <c r="B7" s="107" t="s">
        <v>127</v>
      </c>
      <c r="C7" s="15"/>
      <c r="D7" s="15"/>
      <c r="E7" s="166">
        <f>'Plan A'!F46</f>
        <v>185000</v>
      </c>
      <c r="G7" s="107">
        <v>2019</v>
      </c>
      <c r="H7" s="15"/>
      <c r="I7" s="15" t="s">
        <v>156</v>
      </c>
      <c r="J7" s="85"/>
    </row>
    <row r="8" spans="2:18" ht="15.75" thickTop="1" x14ac:dyDescent="0.25">
      <c r="B8" s="108" t="s">
        <v>23</v>
      </c>
      <c r="C8" s="21"/>
      <c r="D8" s="21"/>
      <c r="E8" s="27">
        <f>SUM(E6:E7)</f>
        <v>4377000</v>
      </c>
      <c r="G8" s="107">
        <v>2020</v>
      </c>
      <c r="H8" s="15"/>
      <c r="I8" s="15" t="s">
        <v>12</v>
      </c>
      <c r="J8" s="85"/>
      <c r="R8" s="10"/>
    </row>
    <row r="9" spans="2:18" x14ac:dyDescent="0.25">
      <c r="D9" s="15"/>
      <c r="E9" s="15"/>
      <c r="F9" s="15"/>
      <c r="G9" s="107">
        <v>2021</v>
      </c>
      <c r="H9" s="15"/>
      <c r="I9" s="15"/>
      <c r="J9" s="85"/>
      <c r="R9" s="10"/>
    </row>
    <row r="10" spans="2:18" x14ac:dyDescent="0.25">
      <c r="D10" s="15"/>
      <c r="E10" s="15"/>
      <c r="F10" s="15"/>
      <c r="G10" s="107">
        <v>2022</v>
      </c>
      <c r="H10" s="15"/>
      <c r="I10" s="15"/>
      <c r="J10" s="85"/>
      <c r="R10" s="10"/>
    </row>
    <row r="11" spans="2:18" x14ac:dyDescent="0.25">
      <c r="D11" s="15"/>
      <c r="E11" s="15"/>
      <c r="F11" s="15"/>
      <c r="G11" s="107">
        <v>2023</v>
      </c>
      <c r="H11" s="15"/>
      <c r="I11" s="15"/>
      <c r="J11" s="85"/>
      <c r="R11" s="10"/>
    </row>
    <row r="12" spans="2:18" x14ac:dyDescent="0.25">
      <c r="D12" s="15"/>
      <c r="E12" s="15"/>
      <c r="F12" s="15"/>
      <c r="G12" s="108">
        <v>2024</v>
      </c>
      <c r="H12" s="21"/>
      <c r="I12" s="21" t="s">
        <v>161</v>
      </c>
      <c r="J12" s="103"/>
      <c r="R12" s="10"/>
    </row>
    <row r="13" spans="2:18" x14ac:dyDescent="0.25">
      <c r="D13" s="15"/>
      <c r="E13" s="15"/>
      <c r="F13" s="15"/>
      <c r="G13" s="8"/>
      <c r="R13" s="10"/>
    </row>
    <row r="14" spans="2:18" ht="18.75" x14ac:dyDescent="0.3">
      <c r="B14" s="86" t="s">
        <v>150</v>
      </c>
      <c r="D14" s="15"/>
      <c r="E14" s="15"/>
      <c r="F14" s="15"/>
      <c r="G14" s="8"/>
      <c r="R14" s="10"/>
    </row>
    <row r="16" spans="2:18" x14ac:dyDescent="0.25">
      <c r="B16" s="49" t="s">
        <v>134</v>
      </c>
      <c r="G16" s="49"/>
    </row>
    <row r="17" spans="2:18" x14ac:dyDescent="0.25">
      <c r="B17" s="49" t="s">
        <v>135</v>
      </c>
      <c r="G17" s="49" t="s">
        <v>136</v>
      </c>
    </row>
    <row r="18" spans="2:18" x14ac:dyDescent="0.25">
      <c r="B18" s="164" t="s">
        <v>129</v>
      </c>
      <c r="C18" s="84"/>
      <c r="D18" s="84"/>
      <c r="E18" s="13">
        <v>471380</v>
      </c>
      <c r="F18" s="84"/>
      <c r="G18" s="84" t="s">
        <v>129</v>
      </c>
      <c r="H18" s="84"/>
      <c r="I18" s="84"/>
      <c r="J18" s="165">
        <v>471380</v>
      </c>
      <c r="L18" t="s">
        <v>138</v>
      </c>
    </row>
    <row r="19" spans="2:18" x14ac:dyDescent="0.25">
      <c r="B19" s="107" t="s">
        <v>130</v>
      </c>
      <c r="C19" s="15"/>
      <c r="D19" s="15"/>
      <c r="E19" s="8">
        <f>'Plan A'!M46</f>
        <v>994124.87999999977</v>
      </c>
      <c r="F19" s="15"/>
      <c r="G19" s="15" t="s">
        <v>130</v>
      </c>
      <c r="H19" s="15"/>
      <c r="I19" s="15"/>
      <c r="J19" s="16">
        <f>E19</f>
        <v>994124.87999999977</v>
      </c>
      <c r="L19" t="s">
        <v>139</v>
      </c>
    </row>
    <row r="20" spans="2:18" x14ac:dyDescent="0.25">
      <c r="B20" s="107" t="s">
        <v>131</v>
      </c>
      <c r="C20" s="15"/>
      <c r="D20" s="15"/>
      <c r="E20" s="8">
        <f>'Plan A'!N46</f>
        <v>1155938.8235294118</v>
      </c>
      <c r="F20" s="15"/>
      <c r="G20" s="15" t="s">
        <v>131</v>
      </c>
      <c r="H20" s="15"/>
      <c r="I20" s="15"/>
      <c r="J20" s="16">
        <f>E20</f>
        <v>1155938.8235294118</v>
      </c>
      <c r="L20" t="s">
        <v>143</v>
      </c>
    </row>
    <row r="21" spans="2:18" x14ac:dyDescent="0.25">
      <c r="B21" s="107"/>
      <c r="C21" s="15"/>
      <c r="D21" s="15"/>
      <c r="E21" s="15"/>
      <c r="F21" s="15"/>
      <c r="G21" s="15" t="s">
        <v>137</v>
      </c>
      <c r="H21" s="15"/>
      <c r="I21" s="167"/>
      <c r="J21" s="16">
        <f>'Plan A'!I46</f>
        <v>110625</v>
      </c>
      <c r="L21" t="s">
        <v>140</v>
      </c>
    </row>
    <row r="22" spans="2:18" x14ac:dyDescent="0.25">
      <c r="B22" s="107" t="s">
        <v>133</v>
      </c>
      <c r="C22" s="15"/>
      <c r="D22" s="15"/>
      <c r="E22" s="8">
        <f>E24-SUM(E18:E20)-E23</f>
        <v>1950000.0000000002</v>
      </c>
      <c r="F22" s="15"/>
      <c r="G22" s="15" t="s">
        <v>34</v>
      </c>
      <c r="H22" s="15"/>
      <c r="I22" s="15"/>
      <c r="J22" s="16">
        <v>2000000</v>
      </c>
      <c r="L22" t="s">
        <v>152</v>
      </c>
    </row>
    <row r="23" spans="2:18" ht="15.75" thickBot="1" x14ac:dyDescent="0.3">
      <c r="B23" s="107" t="s">
        <v>132</v>
      </c>
      <c r="C23" s="15"/>
      <c r="D23" s="167"/>
      <c r="E23" s="162">
        <f>-'Plan A Assess'!K45</f>
        <v>-194443.70352941216</v>
      </c>
      <c r="F23" s="15"/>
      <c r="G23" s="15" t="s">
        <v>132</v>
      </c>
      <c r="H23" s="15"/>
      <c r="I23" s="167"/>
      <c r="J23" s="166">
        <f>-'Plan A'!K45</f>
        <v>-133818.70352941193</v>
      </c>
      <c r="L23" t="s">
        <v>149</v>
      </c>
    </row>
    <row r="24" spans="2:18" ht="15.75" thickTop="1" x14ac:dyDescent="0.25">
      <c r="B24" s="108" t="s">
        <v>23</v>
      </c>
      <c r="C24" s="21"/>
      <c r="D24" s="21"/>
      <c r="E24" s="6">
        <f>E8</f>
        <v>4377000</v>
      </c>
      <c r="F24" s="21"/>
      <c r="G24" s="21" t="s">
        <v>23</v>
      </c>
      <c r="H24" s="21"/>
      <c r="I24" s="21"/>
      <c r="J24" s="158">
        <f>SUM(J18:J23)</f>
        <v>4598250</v>
      </c>
    </row>
    <row r="25" spans="2:18" x14ac:dyDescent="0.25">
      <c r="B25" t="s">
        <v>142</v>
      </c>
    </row>
    <row r="27" spans="2:18" ht="18.75" x14ac:dyDescent="0.3">
      <c r="B27" s="86" t="s">
        <v>141</v>
      </c>
    </row>
    <row r="29" spans="2:18" x14ac:dyDescent="0.25">
      <c r="D29" s="156" t="s">
        <v>113</v>
      </c>
      <c r="E29" s="23"/>
      <c r="F29" s="23"/>
      <c r="G29" s="23"/>
      <c r="H29" s="23"/>
      <c r="I29" s="23"/>
      <c r="L29" s="83"/>
      <c r="N29" s="4" t="s">
        <v>44</v>
      </c>
      <c r="O29" s="4" t="s">
        <v>44</v>
      </c>
    </row>
    <row r="30" spans="2:18" x14ac:dyDescent="0.25">
      <c r="B30" s="49" t="s">
        <v>76</v>
      </c>
      <c r="D30" s="152" t="s">
        <v>109</v>
      </c>
      <c r="E30" s="55">
        <v>2016</v>
      </c>
      <c r="F30" s="94">
        <v>2017</v>
      </c>
      <c r="G30" s="98">
        <v>2018</v>
      </c>
      <c r="H30" s="98">
        <v>2019</v>
      </c>
      <c r="I30" s="98" t="s">
        <v>114</v>
      </c>
      <c r="J30" s="55" t="s">
        <v>66</v>
      </c>
      <c r="K30" s="84"/>
      <c r="L30" s="159" t="s">
        <v>82</v>
      </c>
      <c r="N30" s="4" t="s">
        <v>121</v>
      </c>
      <c r="O30" s="4" t="s">
        <v>121</v>
      </c>
    </row>
    <row r="31" spans="2:18" x14ac:dyDescent="0.25">
      <c r="B31" s="49" t="s">
        <v>49</v>
      </c>
      <c r="D31" s="31" t="s">
        <v>25</v>
      </c>
      <c r="E31" s="15"/>
      <c r="F31" s="95"/>
      <c r="G31" s="15"/>
      <c r="H31" s="8"/>
      <c r="I31" s="8"/>
      <c r="J31" s="15"/>
      <c r="K31" s="15"/>
      <c r="L31" s="16"/>
      <c r="N31" s="4" t="s">
        <v>122</v>
      </c>
      <c r="O31" s="4" t="s">
        <v>123</v>
      </c>
    </row>
    <row r="32" spans="2:18" x14ac:dyDescent="0.25">
      <c r="B32" s="49" t="s">
        <v>110</v>
      </c>
      <c r="D32" s="32">
        <v>40</v>
      </c>
      <c r="E32" s="20">
        <v>399</v>
      </c>
      <c r="F32" s="23">
        <v>866.15274978932325</v>
      </c>
      <c r="G32" s="23">
        <v>866.15274978932325</v>
      </c>
      <c r="H32" s="23">
        <v>866.15274978932325</v>
      </c>
      <c r="I32" s="23">
        <v>866</v>
      </c>
      <c r="J32" s="20">
        <v>399</v>
      </c>
      <c r="K32" s="15"/>
      <c r="L32" s="157">
        <v>299</v>
      </c>
      <c r="N32" s="10">
        <f>(E32*4)+(F32*4)+(G32*4)+(H32*4)+(I32*1)+(J32*19)+(L32*20)</f>
        <v>26416.83299747188</v>
      </c>
      <c r="O32" s="10">
        <f>187*N32</f>
        <v>4939947.7705272418</v>
      </c>
      <c r="R32" s="10"/>
    </row>
    <row r="33" spans="2:18" x14ac:dyDescent="0.25">
      <c r="B33" s="49" t="s">
        <v>83</v>
      </c>
      <c r="D33" s="32">
        <v>60</v>
      </c>
      <c r="E33" s="20">
        <v>703.47058823529414</v>
      </c>
      <c r="F33" s="23">
        <v>1527.8577937458647</v>
      </c>
      <c r="G33" s="23">
        <v>1527.8577937458647</v>
      </c>
      <c r="H33" s="23">
        <v>1527.8577937458647</v>
      </c>
      <c r="I33" s="23">
        <v>1528</v>
      </c>
      <c r="J33" s="20">
        <v>703.47058823529414</v>
      </c>
      <c r="K33" s="15"/>
      <c r="L33" s="157">
        <v>527</v>
      </c>
      <c r="N33" s="10">
        <f t="shared" ref="N33:N34" si="0">(E33*4)+(F33*4)+(G33*4)+(H33*4)+(I33*1)+(J33*19)+(L33*20)</f>
        <v>46582.117054362141</v>
      </c>
      <c r="O33" s="10">
        <f>71*N33</f>
        <v>3307330.3108597118</v>
      </c>
      <c r="R33" s="10"/>
    </row>
    <row r="34" spans="2:18" x14ac:dyDescent="0.25">
      <c r="B34" s="49" t="s">
        <v>151</v>
      </c>
      <c r="D34" s="32">
        <v>88</v>
      </c>
      <c r="E34" s="20">
        <v>877</v>
      </c>
      <c r="F34" s="23">
        <v>1904.7360495365112</v>
      </c>
      <c r="G34" s="23">
        <v>1904.7360495365112</v>
      </c>
      <c r="H34" s="23">
        <v>1904.7360495365112</v>
      </c>
      <c r="I34" s="23">
        <v>1905</v>
      </c>
      <c r="J34" s="20">
        <v>877</v>
      </c>
      <c r="K34" s="15"/>
      <c r="L34" s="157">
        <v>657</v>
      </c>
      <c r="N34" s="10">
        <f t="shared" si="0"/>
        <v>58072.832594438136</v>
      </c>
      <c r="O34" s="11">
        <f>4*N34</f>
        <v>232291.33037775254</v>
      </c>
    </row>
    <row r="35" spans="2:18" x14ac:dyDescent="0.25">
      <c r="D35" s="57"/>
      <c r="E35" s="15"/>
      <c r="F35" s="154"/>
      <c r="G35" s="154"/>
      <c r="H35" s="154"/>
      <c r="I35" s="154"/>
      <c r="J35" s="15"/>
      <c r="K35" s="15"/>
      <c r="L35" s="85"/>
      <c r="N35" s="10"/>
    </row>
    <row r="36" spans="2:18" x14ac:dyDescent="0.25">
      <c r="D36" s="61" t="s">
        <v>125</v>
      </c>
      <c r="E36" s="11">
        <v>128067.41176470587</v>
      </c>
      <c r="F36" s="100">
        <v>278067.4117647059</v>
      </c>
      <c r="G36" s="100">
        <v>278067.4117647059</v>
      </c>
      <c r="H36" s="100">
        <v>278067.4117647059</v>
      </c>
      <c r="I36" s="100">
        <v>165567.41176470587</v>
      </c>
      <c r="J36" s="11">
        <v>128067.41176470587</v>
      </c>
      <c r="K36" s="21"/>
      <c r="L36" s="158">
        <v>128067.41176470587</v>
      </c>
      <c r="N36" s="10"/>
      <c r="O36" s="10">
        <f>SUM(O32:O34)</f>
        <v>8479569.4117647056</v>
      </c>
    </row>
    <row r="37" spans="2:18" x14ac:dyDescent="0.25">
      <c r="D37" s="83"/>
      <c r="E37" s="20"/>
      <c r="F37" s="23"/>
      <c r="G37" s="23"/>
      <c r="H37" s="23"/>
      <c r="I37" s="23"/>
      <c r="J37" s="20"/>
      <c r="L37" s="23"/>
    </row>
    <row r="38" spans="2:18" x14ac:dyDescent="0.25">
      <c r="D38" s="156" t="s">
        <v>113</v>
      </c>
      <c r="E38" s="23"/>
      <c r="F38" s="23"/>
      <c r="G38" s="23"/>
      <c r="H38" s="23"/>
      <c r="I38" s="23"/>
      <c r="L38" s="23"/>
      <c r="N38" s="4" t="s">
        <v>44</v>
      </c>
      <c r="O38" s="4" t="s">
        <v>44</v>
      </c>
      <c r="Q38" s="4" t="s">
        <v>145</v>
      </c>
    </row>
    <row r="39" spans="2:18" x14ac:dyDescent="0.25">
      <c r="B39" s="49" t="s">
        <v>116</v>
      </c>
      <c r="D39" s="152" t="s">
        <v>109</v>
      </c>
      <c r="E39" s="55">
        <v>2016</v>
      </c>
      <c r="F39" s="94">
        <v>2017</v>
      </c>
      <c r="G39" s="98">
        <v>2018</v>
      </c>
      <c r="H39" s="98">
        <v>2019</v>
      </c>
      <c r="I39" s="98">
        <v>2020</v>
      </c>
      <c r="J39" s="55" t="s">
        <v>111</v>
      </c>
      <c r="K39" s="84"/>
      <c r="L39" s="159" t="s">
        <v>82</v>
      </c>
      <c r="N39" s="4" t="s">
        <v>121</v>
      </c>
      <c r="O39" s="4" t="s">
        <v>121</v>
      </c>
      <c r="Q39" s="4" t="s">
        <v>147</v>
      </c>
    </row>
    <row r="40" spans="2:18" x14ac:dyDescent="0.25">
      <c r="B40" s="49" t="s">
        <v>117</v>
      </c>
      <c r="D40" s="31" t="s">
        <v>25</v>
      </c>
      <c r="E40" s="15"/>
      <c r="F40" s="95"/>
      <c r="G40" s="15"/>
      <c r="H40" s="8"/>
      <c r="I40" s="8"/>
      <c r="J40" s="15"/>
      <c r="K40" s="15"/>
      <c r="L40" s="97"/>
      <c r="N40" s="4" t="s">
        <v>122</v>
      </c>
      <c r="O40" s="4" t="s">
        <v>123</v>
      </c>
      <c r="Q40" s="4" t="s">
        <v>124</v>
      </c>
    </row>
    <row r="41" spans="2:18" x14ac:dyDescent="0.25">
      <c r="B41" s="49" t="s">
        <v>115</v>
      </c>
      <c r="D41" s="32">
        <v>40</v>
      </c>
      <c r="E41" s="20">
        <v>399</v>
      </c>
      <c r="F41" s="20">
        <v>399</v>
      </c>
      <c r="G41" s="20">
        <v>399</v>
      </c>
      <c r="H41" s="20">
        <v>399</v>
      </c>
      <c r="I41" s="23">
        <v>597.15233639368466</v>
      </c>
      <c r="J41" s="23">
        <v>597.15233639368466</v>
      </c>
      <c r="K41" s="15"/>
      <c r="L41" s="97">
        <f>'Plan A'!O75</f>
        <v>497.15233639368478</v>
      </c>
      <c r="N41" s="10">
        <f>(E41*4)+(F41*4)+(G41*4)+(H41*4)+(I41*4)+(J41*16)+(L41*20)</f>
        <v>28270.093455747388</v>
      </c>
      <c r="O41" s="10">
        <f>187*N41</f>
        <v>5286507.4762247615</v>
      </c>
      <c r="Q41" s="10">
        <f>N41-N32</f>
        <v>1853.2604582755084</v>
      </c>
      <c r="R41" s="10"/>
    </row>
    <row r="42" spans="2:18" x14ac:dyDescent="0.25">
      <c r="B42" s="49" t="s">
        <v>34</v>
      </c>
      <c r="D42" s="32">
        <v>60</v>
      </c>
      <c r="E42" s="20">
        <v>703.47058823529414</v>
      </c>
      <c r="F42" s="20">
        <v>703.47058823529414</v>
      </c>
      <c r="G42" s="20">
        <v>703.47058823529414</v>
      </c>
      <c r="H42" s="20">
        <v>703.47058823529414</v>
      </c>
      <c r="I42" s="23">
        <v>1053.3323583417964</v>
      </c>
      <c r="J42" s="23">
        <v>1053.3323583417964</v>
      </c>
      <c r="K42" s="15"/>
      <c r="L42" s="97">
        <f>'Plan A'!O76</f>
        <v>876.86177010650249</v>
      </c>
      <c r="N42" s="10">
        <f>(E42*4)+(F42*4)+(G42*4)+(H42*4)+(I42*4)+(J42*16)+(L42*20)</f>
        <v>49859.411980730685</v>
      </c>
      <c r="O42" s="10">
        <f>71*N42</f>
        <v>3540018.2506318786</v>
      </c>
      <c r="Q42" s="10">
        <f t="shared" ref="Q42:Q43" si="1">N42-N33</f>
        <v>3277.2949263685441</v>
      </c>
    </row>
    <row r="43" spans="2:18" x14ac:dyDescent="0.25">
      <c r="D43" s="32">
        <v>88</v>
      </c>
      <c r="E43" s="20">
        <v>877</v>
      </c>
      <c r="F43" s="20">
        <v>877</v>
      </c>
      <c r="G43" s="20">
        <v>877</v>
      </c>
      <c r="H43" s="20">
        <v>877</v>
      </c>
      <c r="I43" s="23">
        <v>1313.1591400661064</v>
      </c>
      <c r="J43" s="23">
        <v>1313.1591400661064</v>
      </c>
      <c r="K43" s="15"/>
      <c r="L43" s="97">
        <f>'Plan A'!O77</f>
        <v>1093.1591400661064</v>
      </c>
      <c r="N43" s="10">
        <f>(E43*4)+(F43*4)+(G43*4)+(H43*4)+(I43*4)+(J43*16)+(L43*20)</f>
        <v>62158.365602644248</v>
      </c>
      <c r="O43" s="11">
        <f>4*N43</f>
        <v>248633.46241057699</v>
      </c>
      <c r="Q43" s="10">
        <f t="shared" si="1"/>
        <v>4085.5330082061118</v>
      </c>
    </row>
    <row r="44" spans="2:18" x14ac:dyDescent="0.25">
      <c r="D44" s="57"/>
      <c r="E44" s="15"/>
      <c r="F44" s="154"/>
      <c r="G44" s="154"/>
      <c r="H44" s="154"/>
      <c r="I44" s="154"/>
      <c r="J44" s="15"/>
      <c r="K44" s="15"/>
      <c r="L44" s="97"/>
      <c r="N44" s="10"/>
    </row>
    <row r="45" spans="2:18" x14ac:dyDescent="0.25">
      <c r="D45" s="61" t="s">
        <v>125</v>
      </c>
      <c r="E45" s="11">
        <v>128067.41176470587</v>
      </c>
      <c r="F45" s="11">
        <v>128067.41176470587</v>
      </c>
      <c r="G45" s="11">
        <v>128067.41176470587</v>
      </c>
      <c r="H45" s="11">
        <v>128067.41176470587</v>
      </c>
      <c r="I45" s="100">
        <v>191706.72090815101</v>
      </c>
      <c r="J45" s="11">
        <v>191706.72090815101</v>
      </c>
      <c r="K45" s="21"/>
      <c r="L45" s="101">
        <v>168233.52914344514</v>
      </c>
      <c r="N45" s="10"/>
      <c r="O45" s="10">
        <f>SUM(O41:O43)</f>
        <v>9075159.1892672163</v>
      </c>
    </row>
    <row r="47" spans="2:18" x14ac:dyDescent="0.25">
      <c r="L47" t="s">
        <v>158</v>
      </c>
      <c r="O47" s="10">
        <f>O45-O36</f>
        <v>595589.7775025107</v>
      </c>
      <c r="Q47" s="9"/>
      <c r="R47" s="10"/>
    </row>
    <row r="48" spans="2:18" x14ac:dyDescent="0.25">
      <c r="L48" t="s">
        <v>159</v>
      </c>
      <c r="N48" s="170"/>
      <c r="O48" s="6">
        <f>'Plan A'!I46</f>
        <v>110625</v>
      </c>
    </row>
    <row r="49" spans="14:15" x14ac:dyDescent="0.25">
      <c r="N49" s="161" t="s">
        <v>146</v>
      </c>
      <c r="O49" s="171">
        <f>SUM(O47:O48)</f>
        <v>706214.7775025107</v>
      </c>
    </row>
  </sheetData>
  <pageMargins left="0.7" right="0.7" top="0.75" bottom="0.75" header="0.3" footer="0.3"/>
  <pageSetup scale="80" fitToHeight="0" orientation="landscape" horizontalDpi="4294967293" verticalDpi="4294967293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Plan A</vt:lpstr>
      <vt:lpstr>Plan B</vt:lpstr>
      <vt:lpstr>Plan A Assess</vt:lpstr>
      <vt:lpstr>Summary</vt:lpstr>
      <vt:lpstr>Plan C</vt:lpstr>
      <vt:lpstr>Asses vs Loan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2016-05-16T04:34:23Z</cp:lastPrinted>
  <dcterms:created xsi:type="dcterms:W3CDTF">2015-12-07T14:42:40Z</dcterms:created>
  <dcterms:modified xsi:type="dcterms:W3CDTF">2016-05-16T04:34:59Z</dcterms:modified>
</cp:coreProperties>
</file>